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TO_GAWE_BAPPEDA\PERENCANAAN_PEMBANGUNAN_DAERAH\RKPD\2017\evaluasirkpd\"/>
    </mc:Choice>
  </mc:AlternateContent>
  <bookViews>
    <workbookView xWindow="240" yWindow="60" windowWidth="20055" windowHeight="7950"/>
  </bookViews>
  <sheets>
    <sheet name="Ev Renja TW 1+2 2017" sheetId="1" r:id="rId1"/>
  </sheets>
  <definedNames>
    <definedName name="_xlnm.Print_Area" localSheetId="0">'Ev Renja TW 1+2 2017'!$A$1:$AE$56</definedName>
    <definedName name="_xlnm.Print_Titles" localSheetId="0">'Ev Renja TW 1+2 2017'!$6:$10</definedName>
  </definedNames>
  <calcPr calcId="162913"/>
</workbook>
</file>

<file path=xl/calcChain.xml><?xml version="1.0" encoding="utf-8"?>
<calcChain xmlns="http://schemas.openxmlformats.org/spreadsheetml/2006/main">
  <c r="P59" i="1" l="1"/>
  <c r="Q59" i="1"/>
  <c r="T21" i="1" l="1"/>
  <c r="Y26" i="1"/>
  <c r="Y41" i="1"/>
  <c r="Y37" i="1"/>
  <c r="Y32" i="1"/>
  <c r="Y31" i="1"/>
  <c r="Y30" i="1"/>
  <c r="T41" i="1"/>
  <c r="R41" i="1"/>
  <c r="N41" i="1"/>
  <c r="T37" i="1"/>
  <c r="R37" i="1"/>
  <c r="N37" i="1"/>
  <c r="N36" i="1"/>
  <c r="T32" i="1"/>
  <c r="T31" i="1"/>
  <c r="T30" i="1"/>
  <c r="R32" i="1"/>
  <c r="R31" i="1"/>
  <c r="R30" i="1"/>
  <c r="N32" i="1"/>
  <c r="N31" i="1"/>
  <c r="N30" i="1"/>
  <c r="T26" i="1"/>
  <c r="R26" i="1"/>
  <c r="N26" i="1"/>
  <c r="N22" i="1"/>
  <c r="N21" i="1"/>
  <c r="N20" i="1"/>
  <c r="O37" i="1" l="1"/>
  <c r="O27" i="1"/>
  <c r="O26" i="1"/>
  <c r="O14" i="1"/>
  <c r="M41" i="1"/>
  <c r="M37" i="1"/>
  <c r="M32" i="1"/>
  <c r="M31" i="1"/>
  <c r="M30" i="1"/>
  <c r="M26" i="1"/>
  <c r="M21" i="1"/>
  <c r="M20" i="1"/>
  <c r="U50" i="1" l="1"/>
  <c r="T50" i="1" s="1"/>
  <c r="J50" i="1" s="1"/>
  <c r="S50" i="1"/>
  <c r="R50" i="1" s="1"/>
  <c r="O50" i="1"/>
  <c r="N50" i="1" s="1"/>
  <c r="K50" i="1"/>
  <c r="I50" i="1"/>
  <c r="U49" i="1"/>
  <c r="T49" i="1" s="1"/>
  <c r="S49" i="1"/>
  <c r="R49" i="1" s="1"/>
  <c r="N49" i="1"/>
  <c r="I49" i="1"/>
  <c r="U48" i="1"/>
  <c r="T48" i="1" s="1"/>
  <c r="S48" i="1"/>
  <c r="R48" i="1" s="1"/>
  <c r="N48" i="1"/>
  <c r="I48" i="1"/>
  <c r="U47" i="1"/>
  <c r="T47" i="1" s="1"/>
  <c r="J47" i="1" s="1"/>
  <c r="S47" i="1"/>
  <c r="R47" i="1" s="1"/>
  <c r="N47" i="1"/>
  <c r="I47" i="1"/>
  <c r="U46" i="1"/>
  <c r="T46" i="1" s="1"/>
  <c r="S46" i="1"/>
  <c r="R46" i="1" s="1"/>
  <c r="N46" i="1"/>
  <c r="I46" i="1"/>
  <c r="U45" i="1"/>
  <c r="T45" i="1" s="1"/>
  <c r="S45" i="1"/>
  <c r="R45" i="1" s="1"/>
  <c r="N45" i="1"/>
  <c r="I45" i="1"/>
  <c r="U44" i="1"/>
  <c r="T44" i="1" s="1"/>
  <c r="S44" i="1"/>
  <c r="R44" i="1"/>
  <c r="N44" i="1"/>
  <c r="I44" i="1"/>
  <c r="U43" i="1"/>
  <c r="T43" i="1" s="1"/>
  <c r="S43" i="1"/>
  <c r="N43" i="1"/>
  <c r="I43" i="1"/>
  <c r="U42" i="1"/>
  <c r="O42" i="1"/>
  <c r="M42" i="1"/>
  <c r="L42" i="1"/>
  <c r="K42" i="1"/>
  <c r="H42" i="1"/>
  <c r="U41" i="1"/>
  <c r="U40" i="1" s="1"/>
  <c r="T40" i="1"/>
  <c r="S41" i="1"/>
  <c r="R40" i="1" s="1"/>
  <c r="N40" i="1"/>
  <c r="I41" i="1"/>
  <c r="I40" i="1" s="1"/>
  <c r="O40" i="1"/>
  <c r="M40" i="1"/>
  <c r="L40" i="1"/>
  <c r="K40" i="1"/>
  <c r="J40" i="1"/>
  <c r="H40" i="1"/>
  <c r="U39" i="1"/>
  <c r="T39" i="1" s="1"/>
  <c r="T38" i="1" s="1"/>
  <c r="S39" i="1"/>
  <c r="S38" i="1" s="1"/>
  <c r="N39" i="1"/>
  <c r="N38" i="1" s="1"/>
  <c r="I39" i="1"/>
  <c r="I38" i="1" s="1"/>
  <c r="O38" i="1"/>
  <c r="M38" i="1"/>
  <c r="L38" i="1"/>
  <c r="K38" i="1"/>
  <c r="J38" i="1"/>
  <c r="H38" i="1"/>
  <c r="U37" i="1"/>
  <c r="U36" i="1" s="1"/>
  <c r="T36" i="1"/>
  <c r="S37" i="1"/>
  <c r="R36" i="1" s="1"/>
  <c r="I37" i="1"/>
  <c r="O36" i="1"/>
  <c r="M36" i="1"/>
  <c r="L36" i="1"/>
  <c r="K36" i="1"/>
  <c r="J36" i="1"/>
  <c r="I36" i="1"/>
  <c r="H36" i="1"/>
  <c r="U35" i="1"/>
  <c r="T35" i="1" s="1"/>
  <c r="T34" i="1" s="1"/>
  <c r="S35" i="1"/>
  <c r="R35" i="1" s="1"/>
  <c r="R34" i="1" s="1"/>
  <c r="N35" i="1"/>
  <c r="N34" i="1" s="1"/>
  <c r="I35" i="1"/>
  <c r="I34" i="1" s="1"/>
  <c r="U34" i="1"/>
  <c r="O34" i="1"/>
  <c r="M34" i="1"/>
  <c r="L34" i="1"/>
  <c r="K34" i="1"/>
  <c r="J34" i="1"/>
  <c r="H34" i="1"/>
  <c r="U33" i="1"/>
  <c r="S33" i="1"/>
  <c r="V33" i="1"/>
  <c r="O33" i="1"/>
  <c r="M33" i="1"/>
  <c r="I33" i="1"/>
  <c r="U32" i="1"/>
  <c r="J32" i="1"/>
  <c r="S32" i="1"/>
  <c r="O32" i="1"/>
  <c r="K32" i="1"/>
  <c r="I32" i="1"/>
  <c r="U31" i="1"/>
  <c r="J31" i="1" s="1"/>
  <c r="S31" i="1"/>
  <c r="O31" i="1"/>
  <c r="V31" i="1"/>
  <c r="X31" i="1" s="1"/>
  <c r="K31" i="1"/>
  <c r="I31" i="1"/>
  <c r="U30" i="1"/>
  <c r="J30" i="1"/>
  <c r="S30" i="1"/>
  <c r="O30" i="1"/>
  <c r="V30" i="1" s="1"/>
  <c r="X30" i="1" s="1"/>
  <c r="K30" i="1"/>
  <c r="I30" i="1"/>
  <c r="U29" i="1"/>
  <c r="T29" i="1" s="1"/>
  <c r="S29" i="1"/>
  <c r="R29" i="1" s="1"/>
  <c r="N29" i="1"/>
  <c r="I29" i="1"/>
  <c r="U28" i="1"/>
  <c r="T28" i="1" s="1"/>
  <c r="S28" i="1"/>
  <c r="R28" i="1" s="1"/>
  <c r="N28" i="1"/>
  <c r="I28" i="1"/>
  <c r="U27" i="1"/>
  <c r="T27" i="1" s="1"/>
  <c r="S27" i="1"/>
  <c r="R27" i="1" s="1"/>
  <c r="N27" i="1"/>
  <c r="I27" i="1"/>
  <c r="U26" i="1"/>
  <c r="S26" i="1"/>
  <c r="V26" i="1"/>
  <c r="I26" i="1"/>
  <c r="AC25" i="1"/>
  <c r="U25" i="1"/>
  <c r="T25" i="1" s="1"/>
  <c r="S25" i="1"/>
  <c r="R25" i="1" s="1"/>
  <c r="O25" i="1"/>
  <c r="I25" i="1"/>
  <c r="U24" i="1"/>
  <c r="T24" i="1" s="1"/>
  <c r="S24" i="1"/>
  <c r="R24" i="1" s="1"/>
  <c r="O24" i="1"/>
  <c r="O19" i="1" s="1"/>
  <c r="I24" i="1"/>
  <c r="U23" i="1"/>
  <c r="T23" i="1" s="1"/>
  <c r="S23" i="1"/>
  <c r="R23" i="1"/>
  <c r="O23" i="1"/>
  <c r="I23" i="1"/>
  <c r="AA22" i="1"/>
  <c r="Z22" i="1"/>
  <c r="AB22" i="1" s="1"/>
  <c r="X22" i="1"/>
  <c r="W22" i="1"/>
  <c r="V22" i="1"/>
  <c r="U22" i="1"/>
  <c r="T22" i="1"/>
  <c r="J22" i="1" s="1"/>
  <c r="S22" i="1"/>
  <c r="R22" i="1"/>
  <c r="O22" i="1"/>
  <c r="M22" i="1"/>
  <c r="K22" i="1"/>
  <c r="I22" i="1"/>
  <c r="AC21" i="1"/>
  <c r="AA21" i="1"/>
  <c r="W21" i="1"/>
  <c r="U21" i="1"/>
  <c r="S21" i="1"/>
  <c r="R21" i="1"/>
  <c r="O21" i="1"/>
  <c r="I21" i="1"/>
  <c r="AA20" i="1"/>
  <c r="U20" i="1"/>
  <c r="T20" i="1"/>
  <c r="J20" i="1" s="1"/>
  <c r="S20" i="1"/>
  <c r="R20" i="1"/>
  <c r="O20" i="1"/>
  <c r="I20" i="1"/>
  <c r="L19" i="1"/>
  <c r="J19" i="1"/>
  <c r="H19" i="1"/>
  <c r="U18" i="1"/>
  <c r="T18" i="1" s="1"/>
  <c r="S18" i="1"/>
  <c r="R18" i="1" s="1"/>
  <c r="N18" i="1"/>
  <c r="I18" i="1"/>
  <c r="U17" i="1"/>
  <c r="S17" i="1"/>
  <c r="R17" i="1" s="1"/>
  <c r="N17" i="1"/>
  <c r="I17" i="1"/>
  <c r="U16" i="1"/>
  <c r="T16" i="1" s="1"/>
  <c r="S16" i="1"/>
  <c r="R16" i="1" s="1"/>
  <c r="N16" i="1"/>
  <c r="I16" i="1"/>
  <c r="U15" i="1"/>
  <c r="T15" i="1" s="1"/>
  <c r="S15" i="1"/>
  <c r="R15" i="1" s="1"/>
  <c r="N15" i="1"/>
  <c r="I15" i="1"/>
  <c r="U14" i="1"/>
  <c r="T14" i="1" s="1"/>
  <c r="S14" i="1"/>
  <c r="R14" i="1" s="1"/>
  <c r="N14" i="1"/>
  <c r="I14" i="1"/>
  <c r="U13" i="1"/>
  <c r="S13" i="1"/>
  <c r="R13" i="1" s="1"/>
  <c r="N13" i="1"/>
  <c r="I13" i="1"/>
  <c r="U12" i="1"/>
  <c r="T12" i="1" s="1"/>
  <c r="S12" i="1"/>
  <c r="N12" i="1"/>
  <c r="I12" i="1"/>
  <c r="O11" i="1"/>
  <c r="M11" i="1"/>
  <c r="L11" i="1"/>
  <c r="K11" i="1"/>
  <c r="J11" i="1"/>
  <c r="H11" i="1"/>
  <c r="W49" i="1" l="1"/>
  <c r="I42" i="1"/>
  <c r="V50" i="1"/>
  <c r="X50" i="1" s="1"/>
  <c r="O59" i="1"/>
  <c r="L59" i="1"/>
  <c r="M19" i="1"/>
  <c r="AH51" i="1" s="1"/>
  <c r="W43" i="1"/>
  <c r="W48" i="1"/>
  <c r="Y48" i="1" s="1"/>
  <c r="W23" i="1"/>
  <c r="AA23" i="1" s="1"/>
  <c r="AC23" i="1" s="1"/>
  <c r="W39" i="1"/>
  <c r="I11" i="1"/>
  <c r="R39" i="1"/>
  <c r="R38" i="1" s="1"/>
  <c r="V49" i="1"/>
  <c r="X49" i="1" s="1"/>
  <c r="S19" i="1"/>
  <c r="S40" i="1"/>
  <c r="W44" i="1"/>
  <c r="Y44" i="1" s="1"/>
  <c r="U38" i="1"/>
  <c r="S11" i="1"/>
  <c r="W25" i="1"/>
  <c r="Y25" i="1" s="1"/>
  <c r="W13" i="1"/>
  <c r="Y13" i="1" s="1"/>
  <c r="W18" i="1"/>
  <c r="Y18" i="1" s="1"/>
  <c r="K19" i="1"/>
  <c r="K59" i="1" s="1"/>
  <c r="W33" i="1"/>
  <c r="AA33" i="1" s="1"/>
  <c r="W35" i="1"/>
  <c r="Y35" i="1" s="1"/>
  <c r="Y34" i="1" s="1"/>
  <c r="W47" i="1"/>
  <c r="Y47" i="1" s="1"/>
  <c r="S36" i="1"/>
  <c r="W20" i="1"/>
  <c r="I19" i="1"/>
  <c r="V20" i="1"/>
  <c r="X20" i="1" s="1"/>
  <c r="AC22" i="1"/>
  <c r="S34" i="1"/>
  <c r="S42" i="1"/>
  <c r="T13" i="1"/>
  <c r="U11" i="1"/>
  <c r="U19" i="1"/>
  <c r="W45" i="1"/>
  <c r="Y45" i="1" s="1"/>
  <c r="T42" i="1"/>
  <c r="R12" i="1"/>
  <c r="V12" i="1" s="1"/>
  <c r="W12" i="1"/>
  <c r="Y12" i="1" s="1"/>
  <c r="W31" i="1"/>
  <c r="AA31" i="1" s="1"/>
  <c r="V47" i="1"/>
  <c r="X47" i="1" s="1"/>
  <c r="V44" i="1"/>
  <c r="X44" i="1" s="1"/>
  <c r="V14" i="1"/>
  <c r="V13" i="1"/>
  <c r="X13" i="1" s="1"/>
  <c r="V48" i="1"/>
  <c r="X48" i="1" s="1"/>
  <c r="V45" i="1"/>
  <c r="Z45" i="1" s="1"/>
  <c r="AB45" i="1" s="1"/>
  <c r="V41" i="1"/>
  <c r="X41" i="1" s="1"/>
  <c r="X40" i="1" s="1"/>
  <c r="V28" i="1"/>
  <c r="X28" i="1" s="1"/>
  <c r="V23" i="1"/>
  <c r="Z23" i="1" s="1"/>
  <c r="AB23" i="1" s="1"/>
  <c r="V21" i="1"/>
  <c r="X21" i="1" s="1"/>
  <c r="V16" i="1"/>
  <c r="X16" i="1" s="1"/>
  <c r="Z14" i="1"/>
  <c r="AB14" i="1" s="1"/>
  <c r="X14" i="1"/>
  <c r="X26" i="1"/>
  <c r="Z26" i="1"/>
  <c r="AB26" i="1" s="1"/>
  <c r="X33" i="1"/>
  <c r="Z33" i="1"/>
  <c r="AB33" i="1" s="1"/>
  <c r="AA39" i="1"/>
  <c r="AC39" i="1" s="1"/>
  <c r="AC38" i="1" s="1"/>
  <c r="W38" i="1"/>
  <c r="AA38" i="1" s="1"/>
  <c r="Y39" i="1"/>
  <c r="Y38" i="1" s="1"/>
  <c r="Z30" i="1"/>
  <c r="AB30" i="1" s="1"/>
  <c r="V15" i="1"/>
  <c r="V27" i="1"/>
  <c r="Z31" i="1"/>
  <c r="AB31" i="1" s="1"/>
  <c r="V32" i="1"/>
  <c r="X32" i="1" s="1"/>
  <c r="V37" i="1"/>
  <c r="Z50" i="1"/>
  <c r="AB50" i="1" s="1"/>
  <c r="AA45" i="1"/>
  <c r="AC45" i="1" s="1"/>
  <c r="V46" i="1"/>
  <c r="N42" i="1"/>
  <c r="AA43" i="1"/>
  <c r="Y43" i="1"/>
  <c r="Z44" i="1"/>
  <c r="AB44" i="1" s="1"/>
  <c r="AA47" i="1"/>
  <c r="AC47" i="1" s="1"/>
  <c r="Y49" i="1"/>
  <c r="AA49" i="1"/>
  <c r="AC49" i="1" s="1"/>
  <c r="R19" i="1"/>
  <c r="V29" i="1"/>
  <c r="J42" i="1"/>
  <c r="W26" i="1"/>
  <c r="W27" i="1"/>
  <c r="W28" i="1"/>
  <c r="W29" i="1"/>
  <c r="R43" i="1"/>
  <c r="R42" i="1" s="1"/>
  <c r="W14" i="1"/>
  <c r="W15" i="1"/>
  <c r="W16" i="1"/>
  <c r="T17" i="1"/>
  <c r="V18" i="1"/>
  <c r="W24" i="1"/>
  <c r="N25" i="1"/>
  <c r="V25" i="1" s="1"/>
  <c r="W30" i="1"/>
  <c r="W32" i="1"/>
  <c r="W37" i="1"/>
  <c r="W41" i="1"/>
  <c r="W46" i="1"/>
  <c r="W50" i="1"/>
  <c r="Y50" i="1" s="1"/>
  <c r="N11" i="1"/>
  <c r="W17" i="1"/>
  <c r="N24" i="1"/>
  <c r="AA44" i="1" l="1"/>
  <c r="AC44" i="1" s="1"/>
  <c r="AA48" i="1"/>
  <c r="AC48" i="1" s="1"/>
  <c r="T19" i="1"/>
  <c r="M59" i="1"/>
  <c r="AA18" i="1"/>
  <c r="AC18" i="1" s="1"/>
  <c r="Z28" i="1"/>
  <c r="AB28" i="1" s="1"/>
  <c r="Z49" i="1"/>
  <c r="AB49" i="1" s="1"/>
  <c r="Z20" i="1"/>
  <c r="Z47" i="1"/>
  <c r="AB47" i="1" s="1"/>
  <c r="AA25" i="1"/>
  <c r="Z41" i="1"/>
  <c r="AB41" i="1" s="1"/>
  <c r="AB40" i="1" s="1"/>
  <c r="Z13" i="1"/>
  <c r="AB13" i="1" s="1"/>
  <c r="W42" i="1"/>
  <c r="AA13" i="1"/>
  <c r="AC13" i="1" s="1"/>
  <c r="W34" i="1"/>
  <c r="AA34" i="1" s="1"/>
  <c r="AC34" i="1" s="1"/>
  <c r="AA35" i="1"/>
  <c r="AC35" i="1" s="1"/>
  <c r="N19" i="1"/>
  <c r="N59" i="1" s="1"/>
  <c r="Z12" i="1"/>
  <c r="AB12" i="1" s="1"/>
  <c r="X12" i="1"/>
  <c r="AA12" i="1"/>
  <c r="AC12" i="1" s="1"/>
  <c r="Z48" i="1"/>
  <c r="AB48" i="1" s="1"/>
  <c r="V40" i="1"/>
  <c r="Z40" i="1" s="1"/>
  <c r="Z16" i="1"/>
  <c r="AB16" i="1" s="1"/>
  <c r="R11" i="1"/>
  <c r="T11" i="1"/>
  <c r="X45" i="1"/>
  <c r="X23" i="1"/>
  <c r="Z32" i="1"/>
  <c r="AB32" i="1" s="1"/>
  <c r="Z21" i="1"/>
  <c r="AB21" i="1" s="1"/>
  <c r="V39" i="1"/>
  <c r="V17" i="1"/>
  <c r="X17" i="1" s="1"/>
  <c r="Y24" i="1"/>
  <c r="AA24" i="1"/>
  <c r="AC24" i="1" s="1"/>
  <c r="W19" i="1"/>
  <c r="AA19" i="1" s="1"/>
  <c r="AA26" i="1"/>
  <c r="AC26" i="1" s="1"/>
  <c r="Y40" i="1"/>
  <c r="AA41" i="1"/>
  <c r="W40" i="1"/>
  <c r="Z25" i="1"/>
  <c r="AB25" i="1" s="1"/>
  <c r="X25" i="1"/>
  <c r="Y16" i="1"/>
  <c r="AA16" i="1"/>
  <c r="Y27" i="1"/>
  <c r="AA27" i="1"/>
  <c r="AC27" i="1" s="1"/>
  <c r="X29" i="1"/>
  <c r="Z29" i="1"/>
  <c r="AB29" i="1" s="1"/>
  <c r="Z46" i="1"/>
  <c r="AB46" i="1" s="1"/>
  <c r="X46" i="1"/>
  <c r="Z37" i="1"/>
  <c r="AB37" i="1" s="1"/>
  <c r="AB36" i="1" s="1"/>
  <c r="V36" i="1"/>
  <c r="Z36" i="1" s="1"/>
  <c r="X37" i="1"/>
  <c r="X36" i="1" s="1"/>
  <c r="X27" i="1"/>
  <c r="Z27" i="1"/>
  <c r="AB27" i="1" s="1"/>
  <c r="Y28" i="1"/>
  <c r="AA28" i="1"/>
  <c r="AC28" i="1" s="1"/>
  <c r="AA17" i="1"/>
  <c r="AC17" i="1" s="1"/>
  <c r="Y17" i="1"/>
  <c r="Y46" i="1"/>
  <c r="Y42" i="1" s="1"/>
  <c r="AA46" i="1"/>
  <c r="AC46" i="1" s="1"/>
  <c r="AA30" i="1"/>
  <c r="V24" i="1"/>
  <c r="AA32" i="1"/>
  <c r="Z18" i="1"/>
  <c r="AB18" i="1" s="1"/>
  <c r="X18" i="1"/>
  <c r="Y14" i="1"/>
  <c r="W11" i="1"/>
  <c r="AA14" i="1"/>
  <c r="AC14" i="1" s="1"/>
  <c r="Y29" i="1"/>
  <c r="AA29" i="1"/>
  <c r="AC29" i="1" s="1"/>
  <c r="Z15" i="1"/>
  <c r="AB15" i="1" s="1"/>
  <c r="X15" i="1"/>
  <c r="V43" i="1"/>
  <c r="AA50" i="1"/>
  <c r="V35" i="1"/>
  <c r="Y36" i="1"/>
  <c r="AA37" i="1"/>
  <c r="W36" i="1"/>
  <c r="Y15" i="1"/>
  <c r="AA15" i="1"/>
  <c r="AC15" i="1" s="1"/>
  <c r="AC43" i="1"/>
  <c r="AC42" i="1" l="1"/>
  <c r="AA42" i="1"/>
  <c r="Y11" i="1"/>
  <c r="AG51" i="1"/>
  <c r="Y51" i="1" s="1"/>
  <c r="Z24" i="1"/>
  <c r="AB24" i="1" s="1"/>
  <c r="AB19" i="1" s="1"/>
  <c r="V19" i="1"/>
  <c r="Z19" i="1" s="1"/>
  <c r="X24" i="1"/>
  <c r="X19" i="1" s="1"/>
  <c r="AC41" i="1"/>
  <c r="AC40" i="1" s="1"/>
  <c r="AA40" i="1"/>
  <c r="AC37" i="1"/>
  <c r="AC36" i="1" s="1"/>
  <c r="AA36" i="1"/>
  <c r="AC11" i="1"/>
  <c r="Y19" i="1"/>
  <c r="X35" i="1"/>
  <c r="X34" i="1" s="1"/>
  <c r="Z35" i="1"/>
  <c r="AB35" i="1" s="1"/>
  <c r="V34" i="1"/>
  <c r="Z34" i="1" s="1"/>
  <c r="AB34" i="1" s="1"/>
  <c r="X43" i="1"/>
  <c r="X42" i="1" s="1"/>
  <c r="Z43" i="1"/>
  <c r="AB43" i="1" s="1"/>
  <c r="AB42" i="1" s="1"/>
  <c r="V42" i="1"/>
  <c r="Z42" i="1" s="1"/>
  <c r="X39" i="1"/>
  <c r="X38" i="1" s="1"/>
  <c r="Z39" i="1"/>
  <c r="AB39" i="1" s="1"/>
  <c r="AB38" i="1" s="1"/>
  <c r="V38" i="1"/>
  <c r="Z38" i="1" s="1"/>
  <c r="AA11" i="1"/>
  <c r="AC19" i="1"/>
  <c r="Z17" i="1"/>
  <c r="AB17" i="1" s="1"/>
  <c r="AB11" i="1" s="1"/>
  <c r="X11" i="1"/>
  <c r="V11" i="1"/>
  <c r="Z11" i="1" s="1"/>
  <c r="X51" i="1" l="1"/>
</calcChain>
</file>

<file path=xl/sharedStrings.xml><?xml version="1.0" encoding="utf-8"?>
<sst xmlns="http://schemas.openxmlformats.org/spreadsheetml/2006/main" count="147" uniqueCount="125">
  <si>
    <t xml:space="preserve">SEKRETARIAT DPRD KABUPATEN BANGKA </t>
  </si>
  <si>
    <t>No</t>
  </si>
  <si>
    <t xml:space="preserve">Sasaran </t>
  </si>
  <si>
    <t>Program / Kegiatan</t>
  </si>
  <si>
    <t xml:space="preserve">Indikator Kinerja Program (Outcome) / Kegiatan (Output) </t>
  </si>
  <si>
    <t>Target Renstra SKPD pada Tahun 2018</t>
  </si>
  <si>
    <t xml:space="preserve">Realisasi Kinerja Pada Triwulan </t>
  </si>
  <si>
    <t>Realisasi Capaian Kinerja dan Anggaran Renja SKPD yang dievaluasi</t>
  </si>
  <si>
    <t>Tingkat Capaian Kinerja dan Realisasi Anggaran Renja yang dievaluasi (%)</t>
  </si>
  <si>
    <t>Realisasi Kinerja dan Anggaran Renstra SKPD s/d Tahun 2016</t>
  </si>
  <si>
    <t>Tingkat Capaian Kinerja dan Realisasi Anggaran Renstra SKPD s/d tahun  2016 (%)</t>
  </si>
  <si>
    <t>Unit SKPD Penanggung Jawab</t>
  </si>
  <si>
    <t>KET</t>
  </si>
  <si>
    <t>I</t>
  </si>
  <si>
    <t>II</t>
  </si>
  <si>
    <t>III</t>
  </si>
  <si>
    <t>IV</t>
  </si>
  <si>
    <t>12 = 8+9+10+11</t>
  </si>
  <si>
    <t>13 = 12/7x100</t>
  </si>
  <si>
    <t>14 = 6 + 12</t>
  </si>
  <si>
    <t>15=14/5 x100</t>
  </si>
  <si>
    <t>01</t>
  </si>
  <si>
    <t>K</t>
  </si>
  <si>
    <t>Rp</t>
  </si>
  <si>
    <t>Terwujudnya Pelayan Prima dalam hal administrasi perkantoran</t>
  </si>
  <si>
    <t>Program Pelayanan Administrasi Perkantoran</t>
  </si>
  <si>
    <t>Terlaksananya administrasi perkantoran secara cepat, tepat dan akurat</t>
  </si>
  <si>
    <t>Penyediaan Surat Menyurat</t>
  </si>
  <si>
    <t>Terkirimnya surat-surat dinas selama 1 tahun</t>
  </si>
  <si>
    <t>Penyediaan Jasa Komunikasi Sumber daya Air dan Listrik</t>
  </si>
  <si>
    <t>Tersedianya jasa komunikasi, sumber daya air, listrik dan internet selama 1 tahun</t>
  </si>
  <si>
    <t>Penyediaan Jasa Peralatan dan Perlengkapan Kantor</t>
  </si>
  <si>
    <t>Tercapainya prosentase peralatan dan perlengkapan kantor yang diservice sebanyak 97 unit</t>
  </si>
  <si>
    <t>Penyediaan Jasa Kebersihan Kantor</t>
  </si>
  <si>
    <t>Terpeliharanya kebersihan kantor selama 1 tahun</t>
  </si>
  <si>
    <t>Tercapainya makan dan minum selama 1 tahun</t>
  </si>
  <si>
    <t>Rapat-rapat Koordinasi dan Konsultasi keluar Daerah</t>
  </si>
  <si>
    <t>Tercapainya peningkatan kinerja pegawai yang mengikuti Rakor dan Konsultasi sebanyak 15 orang</t>
  </si>
  <si>
    <t>Rapat-rapat Koordinasi, Konsultasi dan Pembinaan Dalam Daerah</t>
  </si>
  <si>
    <t>Tercapainya pelaksanaan kegiatan makan dan minuman harian bagi pegawai sebanyak 78 orang pegawai</t>
  </si>
  <si>
    <t>Terpenuhinya sarana dan prasarana kerja aparatur dan anggota DPRD</t>
  </si>
  <si>
    <t>Program Peningkatan Sarana dan Prasarana Aparatur</t>
  </si>
  <si>
    <t>Peningkatan kualitas dan kuantitas sarana dan prasarana kerja aparatur dan anggota DPRD</t>
  </si>
  <si>
    <t>Pengadaan Mobil Jabatan</t>
  </si>
  <si>
    <t xml:space="preserve">Tersedianya Mobil Jabatan </t>
  </si>
  <si>
    <t>-</t>
  </si>
  <si>
    <t>Pengadaan Kendaraan Dinas / Operasional</t>
  </si>
  <si>
    <t>Tersedianya kendaraan dinas roda 4 dan roda 2</t>
  </si>
  <si>
    <t>Pengadaan Perlengkapan Rumah Jabatan / Dinas</t>
  </si>
  <si>
    <t>Terlaksananya pengadaan perlengkapan gedung kantor sebanyak 1 paket</t>
  </si>
  <si>
    <t>Pengadaan Perlengkapan Gedung Kantor</t>
  </si>
  <si>
    <t>Terlaksannya pengadaan gedung kantor sebanyak 1 paket</t>
  </si>
  <si>
    <t>Pengadaan Peralatan Gedung Kantor</t>
  </si>
  <si>
    <t>Terlaksananya pengadaan peralatan gedung kantor sebanyak 1 paket</t>
  </si>
  <si>
    <t>Tercapainya gedung arsip dan perlengkapannya</t>
  </si>
  <si>
    <t>Pemeliharaan Rutin/ Berkala Rumah Jabatan/Sekwan</t>
  </si>
  <si>
    <t>terpeliharanya sarana dan prasaranan rumah jabatan/sekwan selama 12 bulan</t>
  </si>
  <si>
    <t xml:space="preserve">Pemeliharaan Rutin/ Berkala Gedung Kantor </t>
  </si>
  <si>
    <t>Terpeliharanya sarana dan prasarana gedung kantor</t>
  </si>
  <si>
    <t>Pemeliharaan Rutin/berkala Mobil Jabatan</t>
  </si>
  <si>
    <t>terpeliharanya sarana dan prasarana mobil jabatan sebanyak 4 unit</t>
  </si>
  <si>
    <t>Pemeliharaan Rutin/Berkala Kendaraan Dinas / Operasional</t>
  </si>
  <si>
    <t>Terpeliharanya sarana dan prasarana mobil dinas/operasional sebanyak 17 mobil</t>
  </si>
  <si>
    <t>Rehabilitasi Sedang Berat/Berat Rumah Dinas</t>
  </si>
  <si>
    <t>Terpeliharanya rumah dinas</t>
  </si>
  <si>
    <t>Pengadaan Sumur Bor</t>
  </si>
  <si>
    <t>Tersedianya Sumur Bor</t>
  </si>
  <si>
    <t>Pembangunan Tempat Parkir</t>
  </si>
  <si>
    <t>Tersedianyan Tempat Parkir yg memadai</t>
  </si>
  <si>
    <t>Rehabilitasi Taman Kantor</t>
  </si>
  <si>
    <t>Tercapainya sarana dan prasarana taman kantor</t>
  </si>
  <si>
    <t>Tersedianya aparatur yang berkualitas dan berdisplin tinggi</t>
  </si>
  <si>
    <t>Program Peningkatan Disiplin Aparatur</t>
  </si>
  <si>
    <t>Meningkatnya keseragaman dan kerapian aparatur/pimpinan dan anggota DPRD</t>
  </si>
  <si>
    <t>Pengadaan Pakaian Dinas  Beserta Perlengkapannya</t>
  </si>
  <si>
    <t>Tercapainya prosentase total anggota DPRD dan Staf Setwan yang belum memiliki pakaian dinas sebanyak 188 stel</t>
  </si>
  <si>
    <t>Program Peningkatan Sumber Daya Aparatur</t>
  </si>
  <si>
    <t>Peningkatan pengetahuan dan etos kerja</t>
  </si>
  <si>
    <t>terlaksananya diklat pegawai bagi 26 orang staff setwan</t>
  </si>
  <si>
    <t>Terlaksananya pelaporan capaian kinerja dan keuangan secara cepat, tepat dan akurat</t>
  </si>
  <si>
    <t>Program Peningkatan dan pengembangan Sistem Pelaporan Capaian Kinerja dan Keuangan</t>
  </si>
  <si>
    <t xml:space="preserve">Peningkatan kualitas laporan keuangan SKPD yang akurat dan tepat waktu </t>
  </si>
  <si>
    <t>Penyusunan Laporan Capaian Kinerja dan Ikhtisar Realisasi Kinerja SKPD</t>
  </si>
  <si>
    <t>Terlaksananya penyusunan laporan keuangan SKPD dan laporan realisasi sebanyak 10 laporan</t>
  </si>
  <si>
    <t>Program Peningkatan dan Pengembangan Potensi Pembangunan Daerah</t>
  </si>
  <si>
    <t>Peningkatan tingkat pemahaman masyarakat terhadap hasil pembangunan</t>
  </si>
  <si>
    <t>Pameran Pembangunan Daerah</t>
  </si>
  <si>
    <t>Terlaksananya Pembanguan Daerah sebanyak 2 kali</t>
  </si>
  <si>
    <t>Meningkatnya kinerja DPRD</t>
  </si>
  <si>
    <t>Program Peningkatan Kapasitas Lembaga Perwakilan Daerah</t>
  </si>
  <si>
    <t>Persentase pencapaian target kinerja</t>
  </si>
  <si>
    <t>Pembahasan Rancangan Peraturan Daerah</t>
  </si>
  <si>
    <t>Terlaksananya Pembahasan Raperda Kab. Bangka sebanyak 48 kali</t>
  </si>
  <si>
    <t>Hearing/Dialog dan Koordinasi dengan Pejabat Pemerintah Daerah dan Tokoh Masyarakat/ Tokoh Agama</t>
  </si>
  <si>
    <t>Tercapainya jumlah pertemuan dengan pejabat Pemda dan Tokoh Masyarakat sebanyak 12 kali</t>
  </si>
  <si>
    <t>Rapat-rapat Alat Kelengkapan Dewan</t>
  </si>
  <si>
    <t>Tercapainya pelaksanaan rapat-rapat alat kelengkapan dewan sebanyak 6 kali</t>
  </si>
  <si>
    <t>Rapat-rapat Paripurna</t>
  </si>
  <si>
    <t>Tercapainya pelaksanaan rapat paripurna selama 12 bulan</t>
  </si>
  <si>
    <t>Kegiatan Reses</t>
  </si>
  <si>
    <t>Tercapainya jumlah pertemuan dalam rangka reses ke 8 kecamatan</t>
  </si>
  <si>
    <t>Kunjungan Kerja Pimpinan dan Anggota DPRD</t>
  </si>
  <si>
    <t>Prosentase jumlah kunjungan kerja Pimpinan dan Anggota dalam Daerah sebanyak 48 kali</t>
  </si>
  <si>
    <t>Peningkatan Kapasitas dan Pimpinan dan Anggota DPRD</t>
  </si>
  <si>
    <t>Tercapainya Prosentase peningkatan kapasitas anggota DPRD berupa Munas/Adkasi, Pendidikan/Bimtek, Konsultasi AKD, Study Banding AKD Sebanyak 30 orang</t>
  </si>
  <si>
    <t>Penyediaan Jasa Jaminan Pemeliharaan Kesehatan Pimpinan dan Anggota DPRD</t>
  </si>
  <si>
    <t>Tercapainya prosentase Pimpinan dan Anggota DPRD yang terlayani selama 1 tahun</t>
  </si>
  <si>
    <t>Rata-rata capaian kinerja (%)</t>
  </si>
  <si>
    <t>Predikat kinerja</t>
  </si>
  <si>
    <t>Faktor pendorong keberhasilan kinerja : ketersediaan dana</t>
  </si>
  <si>
    <t xml:space="preserve">Faktor penghambat pencapaian kinerja : </t>
  </si>
  <si>
    <t>Tindak lanjut yang diperlukan dalam triwulan berikutnya : (Bappeda yang ngisi)</t>
  </si>
  <si>
    <t>Tindak lanjut yang diperlukan dalam Renja SKPD berikutnya : (Bappeda yang ngisi)</t>
  </si>
  <si>
    <t>TAHUN ANGGARAN 2017</t>
  </si>
  <si>
    <t>Realisasi Capaian Kinerja Renstra SKPD sampai dengan Renja SKPD Tahun 2016</t>
  </si>
  <si>
    <t>Target Kinerja dan Anggaran Renja SKPD tahun Berjalan (2017) yang di evaluasi</t>
  </si>
  <si>
    <t xml:space="preserve">     SEKRETARIS DEWAN KABUPATEN BANGKA,</t>
  </si>
  <si>
    <t>Drs. H. ANDI HUDIRMAN</t>
  </si>
  <si>
    <t>PEMBINA UTAMA MADYA</t>
  </si>
  <si>
    <t>NIP 19640404 199103 1 006</t>
  </si>
  <si>
    <t>Penyediaan Jasa Makanan dan Minuman</t>
  </si>
  <si>
    <t>Pembangunan Sarana Penunjang Gedung Kantor</t>
  </si>
  <si>
    <t>Pelatihan dan Pendidikan Non Formal</t>
  </si>
  <si>
    <t>Sungailiat ,             Agustus  2017</t>
  </si>
  <si>
    <t>FORMULIR EVALUASI HASIL  RKPD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</si>
</sst>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p&quot;* #,##0.00_);_(&quot;Rp&quot;* \(#,##0.00\);_(&quot;Rp&quot;* &quot;-&quot;??_);_(@_)"/>
    <numFmt numFmtId="167" formatCode="_(&quot;Rp&quot;* #,##0_);_(&quot;Rp&quot;* \(#,##0\);_(&quot;Rp&quot;* &quot;-&quot;??_);_(@_)"/>
    <numFmt numFmtId="168" formatCode="0.0%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167" fontId="4" fillId="0" borderId="0" xfId="1" applyNumberFormat="1" applyFont="1"/>
    <xf numFmtId="10" fontId="4" fillId="0" borderId="0" xfId="2" applyNumberFormat="1" applyFont="1"/>
    <xf numFmtId="166" fontId="4" fillId="0" borderId="0" xfId="1" applyFont="1"/>
    <xf numFmtId="167" fontId="4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67" fontId="6" fillId="0" borderId="0" xfId="0" applyNumberFormat="1" applyFont="1"/>
    <xf numFmtId="0" fontId="8" fillId="0" borderId="0" xfId="0" applyFont="1" applyBorder="1" applyAlignment="1">
      <alignment vertical="top" wrapText="1"/>
    </xf>
    <xf numFmtId="167" fontId="9" fillId="0" borderId="0" xfId="1" applyNumberFormat="1" applyFont="1"/>
    <xf numFmtId="0" fontId="9" fillId="0" borderId="0" xfId="0" applyFont="1"/>
    <xf numFmtId="10" fontId="9" fillId="0" borderId="0" xfId="2" applyNumberFormat="1" applyFont="1"/>
    <xf numFmtId="167" fontId="9" fillId="0" borderId="0" xfId="0" applyNumberFormat="1" applyFont="1"/>
    <xf numFmtId="166" fontId="9" fillId="0" borderId="0" xfId="1" applyFont="1"/>
    <xf numFmtId="0" fontId="12" fillId="0" borderId="0" xfId="0" applyFont="1"/>
    <xf numFmtId="167" fontId="12" fillId="0" borderId="0" xfId="1" applyNumberFormat="1" applyFont="1"/>
    <xf numFmtId="10" fontId="12" fillId="0" borderId="0" xfId="2" applyNumberFormat="1" applyFont="1"/>
    <xf numFmtId="166" fontId="12" fillId="0" borderId="0" xfId="1" applyFont="1"/>
    <xf numFmtId="167" fontId="12" fillId="0" borderId="0" xfId="0" applyNumberFormat="1" applyFont="1"/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66" fontId="14" fillId="0" borderId="1" xfId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9" fontId="13" fillId="0" borderId="1" xfId="0" applyNumberFormat="1" applyFont="1" applyBorder="1" applyAlignment="1">
      <alignment horizontal="center" vertical="top" wrapText="1"/>
    </xf>
    <xf numFmtId="167" fontId="13" fillId="0" borderId="1" xfId="1" applyNumberFormat="1" applyFont="1" applyBorder="1" applyAlignment="1">
      <alignment horizontal="center" vertical="top" wrapText="1"/>
    </xf>
    <xf numFmtId="168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top" wrapText="1"/>
    </xf>
    <xf numFmtId="9" fontId="14" fillId="0" borderId="1" xfId="2" applyFont="1" applyBorder="1" applyAlignment="1">
      <alignment horizontal="center" vertical="top" wrapText="1"/>
    </xf>
    <xf numFmtId="167" fontId="14" fillId="0" borderId="1" xfId="1" applyNumberFormat="1" applyFont="1" applyBorder="1" applyAlignment="1">
      <alignment horizontal="center" vertical="top" wrapText="1"/>
    </xf>
    <xf numFmtId="168" fontId="14" fillId="0" borderId="1" xfId="0" applyNumberFormat="1" applyFont="1" applyBorder="1" applyAlignment="1">
      <alignment horizontal="center" vertical="top" wrapText="1"/>
    </xf>
    <xf numFmtId="167" fontId="14" fillId="0" borderId="1" xfId="0" applyNumberFormat="1" applyFont="1" applyBorder="1" applyAlignment="1">
      <alignment horizontal="center" vertical="top" wrapText="1"/>
    </xf>
    <xf numFmtId="168" fontId="14" fillId="0" borderId="1" xfId="2" applyNumberFormat="1" applyFont="1" applyBorder="1" applyAlignment="1">
      <alignment horizontal="center" vertical="top" wrapText="1"/>
    </xf>
    <xf numFmtId="168" fontId="14" fillId="0" borderId="1" xfId="2" applyNumberFormat="1" applyFont="1" applyBorder="1" applyAlignment="1">
      <alignment horizontal="justify" vertical="top" wrapText="1"/>
    </xf>
    <xf numFmtId="167" fontId="14" fillId="0" borderId="1" xfId="1" applyNumberFormat="1" applyFont="1" applyBorder="1" applyAlignment="1">
      <alignment horizontal="justify" vertical="top" wrapText="1"/>
    </xf>
    <xf numFmtId="167" fontId="14" fillId="0" borderId="1" xfId="0" applyNumberFormat="1" applyFont="1" applyBorder="1" applyAlignment="1">
      <alignment horizontal="justify" vertical="top" wrapText="1"/>
    </xf>
    <xf numFmtId="9" fontId="14" fillId="0" borderId="1" xfId="2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9" fontId="14" fillId="0" borderId="1" xfId="2" applyNumberFormat="1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wrapText="1"/>
    </xf>
    <xf numFmtId="168" fontId="13" fillId="0" borderId="1" xfId="2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9" fontId="14" fillId="0" borderId="1" xfId="0" applyNumberFormat="1" applyFont="1" applyBorder="1" applyAlignment="1">
      <alignment horizontal="center" vertical="top" wrapText="1"/>
    </xf>
    <xf numFmtId="168" fontId="14" fillId="0" borderId="1" xfId="1" applyNumberFormat="1" applyFont="1" applyBorder="1" applyAlignment="1">
      <alignment horizontal="center" vertical="top" wrapText="1"/>
    </xf>
    <xf numFmtId="9" fontId="14" fillId="0" borderId="1" xfId="1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justify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168" fontId="14" fillId="0" borderId="1" xfId="0" applyNumberFormat="1" applyFont="1" applyBorder="1" applyAlignment="1">
      <alignment horizontal="justify" vertical="top" wrapText="1"/>
    </xf>
    <xf numFmtId="168" fontId="15" fillId="0" borderId="1" xfId="2" applyNumberFormat="1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67" fontId="15" fillId="0" borderId="1" xfId="1" applyNumberFormat="1" applyFont="1" applyBorder="1" applyAlignment="1">
      <alignment horizontal="justify" vertical="top" wrapText="1"/>
    </xf>
    <xf numFmtId="167" fontId="15" fillId="0" borderId="1" xfId="0" applyNumberFormat="1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168" fontId="13" fillId="0" borderId="1" xfId="2" applyNumberFormat="1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4" fillId="0" borderId="1" xfId="0" applyFont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</cellXfs>
  <cellStyles count="7">
    <cellStyle name="Comma [0] 2" xfId="3"/>
    <cellStyle name="Comma 2" xfId="4"/>
    <cellStyle name="Currency" xfId="1" builtinId="4"/>
    <cellStyle name="Normal" xfId="0" builtinId="0"/>
    <cellStyle name="Normal 2" xfId="5"/>
    <cellStyle name="Normal 3" xfId="6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tabSelected="1" zoomScale="70" zoomScaleNormal="70" workbookViewId="0">
      <selection activeCell="I14" sqref="I14"/>
    </sheetView>
  </sheetViews>
  <sheetFormatPr defaultColWidth="9.125" defaultRowHeight="9.75" x14ac:dyDescent="0.2"/>
  <cols>
    <col min="1" max="5" width="5.625" style="2" customWidth="1"/>
    <col min="6" max="7" width="20.625" style="2" customWidth="1"/>
    <col min="8" max="8" width="7.625" style="2" customWidth="1"/>
    <col min="9" max="9" width="20.625" style="3" customWidth="1"/>
    <col min="10" max="10" width="7.625" style="2" customWidth="1"/>
    <col min="11" max="11" width="20.625" style="2" customWidth="1"/>
    <col min="12" max="12" width="7.625" style="2" customWidth="1"/>
    <col min="13" max="13" width="20.625" style="3" customWidth="1"/>
    <col min="14" max="14" width="7.625" style="2" customWidth="1"/>
    <col min="15" max="15" width="20.625" style="3" customWidth="1"/>
    <col min="16" max="16" width="6.75" style="4" hidden="1" customWidth="1"/>
    <col min="17" max="17" width="17.25" style="2" hidden="1" customWidth="1"/>
    <col min="18" max="18" width="4.875" style="2" hidden="1" customWidth="1"/>
    <col min="19" max="19" width="20.125" style="2" hidden="1" customWidth="1"/>
    <col min="20" max="20" width="5.875" style="2" hidden="1" customWidth="1"/>
    <col min="21" max="21" width="19.625" style="2" hidden="1" customWidth="1"/>
    <col min="22" max="22" width="7.625" style="2" customWidth="1"/>
    <col min="23" max="23" width="20.625" style="3" customWidth="1"/>
    <col min="24" max="24" width="7.625" style="2" customWidth="1"/>
    <col min="25" max="25" width="7.625" style="5" customWidth="1"/>
    <col min="26" max="26" width="7.625" style="2" customWidth="1"/>
    <col min="27" max="27" width="20.625" style="6" customWidth="1"/>
    <col min="28" max="29" width="7.625" style="2" customWidth="1"/>
    <col min="30" max="30" width="6.125" style="2" customWidth="1"/>
    <col min="31" max="31" width="12.625" style="2" customWidth="1"/>
    <col min="32" max="32" width="9.125" style="2"/>
    <col min="33" max="33" width="11.25" style="2" bestFit="1" customWidth="1"/>
    <col min="34" max="34" width="12.25" style="2" bestFit="1" customWidth="1"/>
    <col min="35" max="16384" width="9.125" style="2"/>
  </cols>
  <sheetData>
    <row r="1" spans="1:31" s="1" customFormat="1" ht="18" customHeight="1" x14ac:dyDescent="0.25">
      <c r="A1" s="76" t="s">
        <v>124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s="1" customFormat="1" ht="18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s="1" customFormat="1" ht="18" customHeight="1" x14ac:dyDescent="0.25">
      <c r="A3" s="76" t="s">
        <v>113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ht="15.75" x14ac:dyDescent="0.25">
      <c r="A4" s="21"/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2"/>
      <c r="N4" s="21"/>
      <c r="O4" s="22"/>
      <c r="P4" s="23"/>
      <c r="Q4" s="21"/>
      <c r="R4" s="21"/>
      <c r="S4" s="21"/>
      <c r="T4" s="21"/>
      <c r="U4" s="21"/>
      <c r="V4" s="21"/>
      <c r="W4" s="22"/>
      <c r="X4" s="21"/>
      <c r="Y4" s="24"/>
      <c r="Z4" s="21"/>
      <c r="AA4" s="25"/>
      <c r="AB4" s="21"/>
      <c r="AC4" s="21"/>
      <c r="AD4" s="21"/>
      <c r="AE4" s="21"/>
    </row>
    <row r="5" spans="1:31" ht="15.75" x14ac:dyDescent="0.25">
      <c r="A5" s="21"/>
      <c r="B5" s="21"/>
      <c r="C5" s="21"/>
      <c r="D5" s="21"/>
      <c r="E5" s="21"/>
      <c r="F5" s="21"/>
      <c r="G5" s="21"/>
      <c r="H5" s="21"/>
      <c r="I5" s="22"/>
      <c r="J5" s="21"/>
      <c r="K5" s="21"/>
      <c r="L5" s="21"/>
      <c r="M5" s="22"/>
      <c r="N5" s="21"/>
      <c r="O5" s="22"/>
      <c r="P5" s="23"/>
      <c r="Q5" s="21"/>
      <c r="R5" s="21"/>
      <c r="S5" s="21"/>
      <c r="T5" s="21"/>
      <c r="U5" s="21"/>
      <c r="V5" s="21"/>
      <c r="W5" s="22"/>
      <c r="X5" s="21"/>
      <c r="Y5" s="24"/>
      <c r="Z5" s="21"/>
      <c r="AA5" s="25"/>
      <c r="AB5" s="21"/>
      <c r="AC5" s="21"/>
      <c r="AD5" s="21"/>
      <c r="AE5" s="21"/>
    </row>
    <row r="6" spans="1:31" s="7" customFormat="1" ht="19.5" customHeight="1" x14ac:dyDescent="0.25">
      <c r="A6" s="77" t="s">
        <v>1</v>
      </c>
      <c r="B6" s="77" t="s">
        <v>2</v>
      </c>
      <c r="C6" s="77"/>
      <c r="D6" s="77"/>
      <c r="E6" s="77"/>
      <c r="F6" s="77" t="s">
        <v>3</v>
      </c>
      <c r="G6" s="77" t="s">
        <v>4</v>
      </c>
      <c r="H6" s="77" t="s">
        <v>5</v>
      </c>
      <c r="I6" s="77"/>
      <c r="J6" s="77" t="s">
        <v>114</v>
      </c>
      <c r="K6" s="77"/>
      <c r="L6" s="77" t="s">
        <v>115</v>
      </c>
      <c r="M6" s="77"/>
      <c r="N6" s="77" t="s">
        <v>6</v>
      </c>
      <c r="O6" s="77"/>
      <c r="P6" s="77"/>
      <c r="Q6" s="77"/>
      <c r="R6" s="77"/>
      <c r="S6" s="77"/>
      <c r="T6" s="77"/>
      <c r="U6" s="77"/>
      <c r="V6" s="77" t="s">
        <v>7</v>
      </c>
      <c r="W6" s="77"/>
      <c r="X6" s="77" t="s">
        <v>8</v>
      </c>
      <c r="Y6" s="77"/>
      <c r="Z6" s="77" t="s">
        <v>9</v>
      </c>
      <c r="AA6" s="77"/>
      <c r="AB6" s="77" t="s">
        <v>10</v>
      </c>
      <c r="AC6" s="77"/>
      <c r="AD6" s="77" t="s">
        <v>11</v>
      </c>
      <c r="AE6" s="77" t="s">
        <v>12</v>
      </c>
    </row>
    <row r="7" spans="1:31" s="7" customFormat="1" ht="12.75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</row>
    <row r="8" spans="1:31" s="7" customFormat="1" ht="65.2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 t="s">
        <v>13</v>
      </c>
      <c r="O8" s="77"/>
      <c r="P8" s="77" t="s">
        <v>14</v>
      </c>
      <c r="Q8" s="77"/>
      <c r="R8" s="77" t="s">
        <v>15</v>
      </c>
      <c r="S8" s="77"/>
      <c r="T8" s="77" t="s">
        <v>16</v>
      </c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1:31" s="7" customFormat="1" ht="13.5" customHeight="1" x14ac:dyDescent="0.25">
      <c r="A9" s="77">
        <v>1</v>
      </c>
      <c r="B9" s="77">
        <v>2</v>
      </c>
      <c r="C9" s="77"/>
      <c r="D9" s="77"/>
      <c r="E9" s="77"/>
      <c r="F9" s="77">
        <v>3</v>
      </c>
      <c r="G9" s="77">
        <v>4</v>
      </c>
      <c r="H9" s="77">
        <v>5</v>
      </c>
      <c r="I9" s="77"/>
      <c r="J9" s="77">
        <v>6</v>
      </c>
      <c r="K9" s="77"/>
      <c r="L9" s="77">
        <v>7</v>
      </c>
      <c r="M9" s="77"/>
      <c r="N9" s="77">
        <v>8</v>
      </c>
      <c r="O9" s="77"/>
      <c r="P9" s="77">
        <v>9</v>
      </c>
      <c r="Q9" s="77"/>
      <c r="R9" s="77">
        <v>10</v>
      </c>
      <c r="S9" s="77"/>
      <c r="T9" s="77">
        <v>11</v>
      </c>
      <c r="U9" s="77"/>
      <c r="V9" s="77" t="s">
        <v>17</v>
      </c>
      <c r="W9" s="77"/>
      <c r="X9" s="77" t="s">
        <v>18</v>
      </c>
      <c r="Y9" s="77"/>
      <c r="Z9" s="77" t="s">
        <v>19</v>
      </c>
      <c r="AA9" s="77"/>
      <c r="AB9" s="77" t="s">
        <v>20</v>
      </c>
      <c r="AC9" s="77"/>
      <c r="AD9" s="80">
        <v>16</v>
      </c>
      <c r="AE9" s="26" t="s">
        <v>21</v>
      </c>
    </row>
    <row r="10" spans="1:31" s="8" customFormat="1" ht="18" customHeight="1" x14ac:dyDescent="0.25">
      <c r="A10" s="77"/>
      <c r="B10" s="77"/>
      <c r="C10" s="77"/>
      <c r="D10" s="77"/>
      <c r="E10" s="77"/>
      <c r="F10" s="77"/>
      <c r="G10" s="77"/>
      <c r="H10" s="27" t="s">
        <v>22</v>
      </c>
      <c r="I10" s="28" t="s">
        <v>23</v>
      </c>
      <c r="J10" s="27" t="s">
        <v>22</v>
      </c>
      <c r="K10" s="27" t="s">
        <v>23</v>
      </c>
      <c r="L10" s="27" t="s">
        <v>22</v>
      </c>
      <c r="M10" s="28" t="s">
        <v>23</v>
      </c>
      <c r="N10" s="27" t="s">
        <v>22</v>
      </c>
      <c r="O10" s="28" t="s">
        <v>23</v>
      </c>
      <c r="P10" s="29" t="s">
        <v>22</v>
      </c>
      <c r="Q10" s="27" t="s">
        <v>23</v>
      </c>
      <c r="R10" s="27" t="s">
        <v>22</v>
      </c>
      <c r="S10" s="27" t="s">
        <v>23</v>
      </c>
      <c r="T10" s="27" t="s">
        <v>22</v>
      </c>
      <c r="U10" s="27" t="s">
        <v>23</v>
      </c>
      <c r="V10" s="27" t="s">
        <v>22</v>
      </c>
      <c r="W10" s="28" t="s">
        <v>23</v>
      </c>
      <c r="X10" s="27" t="s">
        <v>22</v>
      </c>
      <c r="Y10" s="30" t="s">
        <v>23</v>
      </c>
      <c r="Z10" s="27" t="s">
        <v>22</v>
      </c>
      <c r="AA10" s="31" t="s">
        <v>23</v>
      </c>
      <c r="AB10" s="27" t="s">
        <v>22</v>
      </c>
      <c r="AC10" s="27" t="s">
        <v>23</v>
      </c>
      <c r="AD10" s="81"/>
      <c r="AE10" s="32">
        <v>17</v>
      </c>
    </row>
    <row r="11" spans="1:31" s="9" customFormat="1" ht="68.25" customHeight="1" x14ac:dyDescent="0.2">
      <c r="A11" s="33">
        <v>1</v>
      </c>
      <c r="B11" s="79" t="s">
        <v>24</v>
      </c>
      <c r="C11" s="79"/>
      <c r="D11" s="79"/>
      <c r="E11" s="79"/>
      <c r="F11" s="34" t="s">
        <v>25</v>
      </c>
      <c r="G11" s="35" t="s">
        <v>26</v>
      </c>
      <c r="H11" s="36">
        <f>AVERAGE(H12:H18)</f>
        <v>1</v>
      </c>
      <c r="I11" s="37">
        <f>SUM(I12:I18)</f>
        <v>10610850253</v>
      </c>
      <c r="J11" s="38">
        <f>AVERAGE(J12:J18)</f>
        <v>0.75935714285714284</v>
      </c>
      <c r="K11" s="37">
        <f>SUM(K12:K18)</f>
        <v>2028979500</v>
      </c>
      <c r="L11" s="36">
        <f>AVERAGE(L12:L18)</f>
        <v>1</v>
      </c>
      <c r="M11" s="37">
        <f>SUM(M12:M18)</f>
        <v>2898802900</v>
      </c>
      <c r="N11" s="38">
        <f>AVERAGE(N12:N18)</f>
        <v>0.15661062857577809</v>
      </c>
      <c r="O11" s="37">
        <f>SUM(O12:O18)</f>
        <v>554917970</v>
      </c>
      <c r="P11" s="38"/>
      <c r="Q11" s="37"/>
      <c r="R11" s="38">
        <f>AVERAGE(R12:R18)</f>
        <v>0</v>
      </c>
      <c r="S11" s="39">
        <f>SUM(S12:S18)</f>
        <v>0</v>
      </c>
      <c r="T11" s="38">
        <f>AVERAGE(T12:T18)</f>
        <v>0</v>
      </c>
      <c r="U11" s="39">
        <f>SUM(U12:U18)</f>
        <v>0</v>
      </c>
      <c r="V11" s="38">
        <f>AVERAGE(V12:V18)</f>
        <v>0.15661062857577809</v>
      </c>
      <c r="W11" s="37">
        <f>SUM(W12:W18)</f>
        <v>554917970</v>
      </c>
      <c r="X11" s="38">
        <f>AVERAGE(X12:X18)</f>
        <v>0.15661062857577809</v>
      </c>
      <c r="Y11" s="38">
        <f>AVERAGE(Y12:Y18)</f>
        <v>0.15661062857577809</v>
      </c>
      <c r="Z11" s="38">
        <f>J11+V11</f>
        <v>0.91596777143292096</v>
      </c>
      <c r="AA11" s="40">
        <f>SUM(AA12:AA18)</f>
        <v>2583897470</v>
      </c>
      <c r="AB11" s="36">
        <f>AVERAGE(AB12:AB18)</f>
        <v>0.91596777143292096</v>
      </c>
      <c r="AC11" s="36">
        <f>AVERAGE(AC12:AC18)</f>
        <v>0.1971432591586626</v>
      </c>
      <c r="AD11" s="33"/>
      <c r="AE11" s="33"/>
    </row>
    <row r="12" spans="1:31" s="10" customFormat="1" ht="43.5" customHeight="1" x14ac:dyDescent="0.25">
      <c r="A12" s="32"/>
      <c r="B12" s="32"/>
      <c r="C12" s="32"/>
      <c r="D12" s="32"/>
      <c r="E12" s="32"/>
      <c r="F12" s="41" t="s">
        <v>27</v>
      </c>
      <c r="G12" s="41" t="s">
        <v>28</v>
      </c>
      <c r="H12" s="42">
        <v>1</v>
      </c>
      <c r="I12" s="43">
        <f>507500000+558250000+614075000+675482500+743030750</f>
        <v>3098338250</v>
      </c>
      <c r="J12" s="44">
        <v>0.78659999999999997</v>
      </c>
      <c r="K12" s="45">
        <v>746257500</v>
      </c>
      <c r="L12" s="42">
        <v>1</v>
      </c>
      <c r="M12" s="43">
        <v>1206957400</v>
      </c>
      <c r="N12" s="46">
        <f t="shared" ref="N12:N18" si="0">O12/M12</f>
        <v>0.17530365114791954</v>
      </c>
      <c r="O12" s="43">
        <v>211584039</v>
      </c>
      <c r="P12" s="46"/>
      <c r="Q12" s="43"/>
      <c r="R12" s="44">
        <f>S12/M12</f>
        <v>0</v>
      </c>
      <c r="S12" s="45">
        <f>0</f>
        <v>0</v>
      </c>
      <c r="T12" s="44">
        <f>U12/M12</f>
        <v>0</v>
      </c>
      <c r="U12" s="45">
        <f>0</f>
        <v>0</v>
      </c>
      <c r="V12" s="47">
        <f>N12+P12+R12+T12</f>
        <v>0.17530365114791954</v>
      </c>
      <c r="W12" s="48">
        <f>O12+Q12+S12+U12</f>
        <v>211584039</v>
      </c>
      <c r="X12" s="47">
        <f>V12/L12</f>
        <v>0.17530365114791954</v>
      </c>
      <c r="Y12" s="47">
        <f>W12/M12</f>
        <v>0.17530365114791954</v>
      </c>
      <c r="Z12" s="47">
        <f>J12+V12</f>
        <v>0.96190365114791954</v>
      </c>
      <c r="AA12" s="49">
        <f>K12+W12</f>
        <v>957841539</v>
      </c>
      <c r="AB12" s="50">
        <f>Z12/H12</f>
        <v>0.96190365114791954</v>
      </c>
      <c r="AC12" s="42">
        <f>AA12/I12</f>
        <v>0.30914685928820068</v>
      </c>
      <c r="AD12" s="51"/>
      <c r="AE12" s="51"/>
    </row>
    <row r="13" spans="1:31" s="10" customFormat="1" ht="75" customHeight="1" x14ac:dyDescent="0.25">
      <c r="A13" s="32"/>
      <c r="B13" s="32"/>
      <c r="C13" s="32"/>
      <c r="D13" s="32"/>
      <c r="E13" s="32"/>
      <c r="F13" s="41" t="s">
        <v>29</v>
      </c>
      <c r="G13" s="41" t="s">
        <v>30</v>
      </c>
      <c r="H13" s="42">
        <v>1</v>
      </c>
      <c r="I13" s="43">
        <f>285415000+313956500+345352150+379887365+417876102</f>
        <v>1742487117</v>
      </c>
      <c r="J13" s="44">
        <v>0.75070000000000003</v>
      </c>
      <c r="K13" s="45">
        <v>386322000</v>
      </c>
      <c r="L13" s="42">
        <v>1</v>
      </c>
      <c r="M13" s="43">
        <v>594890000</v>
      </c>
      <c r="N13" s="46">
        <f>O13/M13</f>
        <v>0.12250505303501488</v>
      </c>
      <c r="O13" s="43">
        <v>72877031</v>
      </c>
      <c r="P13" s="46"/>
      <c r="Q13" s="43"/>
      <c r="R13" s="44">
        <f t="shared" ref="R13:R18" si="1">S13/M13</f>
        <v>0</v>
      </c>
      <c r="S13" s="45">
        <f>0</f>
        <v>0</v>
      </c>
      <c r="T13" s="44">
        <f t="shared" ref="T13:T19" si="2">U13/M13</f>
        <v>0</v>
      </c>
      <c r="U13" s="45">
        <f>0</f>
        <v>0</v>
      </c>
      <c r="V13" s="47">
        <f>N13+P13+R13+T13</f>
        <v>0.12250505303501488</v>
      </c>
      <c r="W13" s="48">
        <f>O13+Q13+S13+U13</f>
        <v>72877031</v>
      </c>
      <c r="X13" s="47">
        <f>V13/L13</f>
        <v>0.12250505303501488</v>
      </c>
      <c r="Y13" s="47">
        <f t="shared" ref="X13:Y18" si="3">W13/M13</f>
        <v>0.12250505303501488</v>
      </c>
      <c r="Z13" s="47">
        <f t="shared" ref="Z13:AA32" si="4">J13+V13</f>
        <v>0.87320505303501494</v>
      </c>
      <c r="AA13" s="49">
        <f t="shared" si="4"/>
        <v>459199031</v>
      </c>
      <c r="AB13" s="50">
        <f t="shared" ref="AB13:AC18" si="5">Z13/H13</f>
        <v>0.87320505303501494</v>
      </c>
      <c r="AC13" s="42">
        <f t="shared" si="5"/>
        <v>0.26353080405586721</v>
      </c>
      <c r="AD13" s="51"/>
      <c r="AE13" s="51"/>
    </row>
    <row r="14" spans="1:31" s="11" customFormat="1" ht="91.5" customHeight="1" x14ac:dyDescent="0.25">
      <c r="A14" s="51"/>
      <c r="B14" s="51"/>
      <c r="C14" s="51"/>
      <c r="D14" s="51"/>
      <c r="E14" s="51"/>
      <c r="F14" s="41" t="s">
        <v>31</v>
      </c>
      <c r="G14" s="41" t="s">
        <v>32</v>
      </c>
      <c r="H14" s="42">
        <v>1</v>
      </c>
      <c r="I14" s="43">
        <f>150125000+165137500+181651250+199816375+219789013</f>
        <v>916519138</v>
      </c>
      <c r="J14" s="44">
        <v>0.62339999999999995</v>
      </c>
      <c r="K14" s="45">
        <v>96300000</v>
      </c>
      <c r="L14" s="42">
        <v>1</v>
      </c>
      <c r="M14" s="43">
        <v>55350000</v>
      </c>
      <c r="N14" s="46">
        <f t="shared" si="0"/>
        <v>0</v>
      </c>
      <c r="O14" s="43">
        <f>0</f>
        <v>0</v>
      </c>
      <c r="P14" s="46"/>
      <c r="Q14" s="43"/>
      <c r="R14" s="44">
        <f t="shared" si="1"/>
        <v>0</v>
      </c>
      <c r="S14" s="45">
        <f>0</f>
        <v>0</v>
      </c>
      <c r="T14" s="44">
        <f t="shared" si="2"/>
        <v>0</v>
      </c>
      <c r="U14" s="45">
        <f>0</f>
        <v>0</v>
      </c>
      <c r="V14" s="47">
        <f t="shared" ref="V14:W35" si="6">N14+P14+R14+T14</f>
        <v>0</v>
      </c>
      <c r="W14" s="48">
        <f t="shared" si="6"/>
        <v>0</v>
      </c>
      <c r="X14" s="47">
        <f t="shared" si="3"/>
        <v>0</v>
      </c>
      <c r="Y14" s="47">
        <f t="shared" si="3"/>
        <v>0</v>
      </c>
      <c r="Z14" s="47">
        <f t="shared" si="4"/>
        <v>0.62339999999999995</v>
      </c>
      <c r="AA14" s="49">
        <f t="shared" si="4"/>
        <v>96300000</v>
      </c>
      <c r="AB14" s="50">
        <f t="shared" si="5"/>
        <v>0.62339999999999995</v>
      </c>
      <c r="AC14" s="42">
        <f t="shared" si="5"/>
        <v>0.10507145569283247</v>
      </c>
      <c r="AD14" s="51"/>
      <c r="AE14" s="51"/>
    </row>
    <row r="15" spans="1:31" s="10" customFormat="1" ht="54" customHeight="1" x14ac:dyDescent="0.25">
      <c r="A15" s="32"/>
      <c r="B15" s="32"/>
      <c r="C15" s="32"/>
      <c r="D15" s="32"/>
      <c r="E15" s="32"/>
      <c r="F15" s="41" t="s">
        <v>33</v>
      </c>
      <c r="G15" s="41" t="s">
        <v>34</v>
      </c>
      <c r="H15" s="42">
        <v>1</v>
      </c>
      <c r="I15" s="43">
        <f>64775000+71252500+78377750+86215525+94837078</f>
        <v>395457853</v>
      </c>
      <c r="J15" s="44">
        <v>0.99309999999999998</v>
      </c>
      <c r="K15" s="45">
        <v>154492000</v>
      </c>
      <c r="L15" s="42">
        <v>1</v>
      </c>
      <c r="M15" s="43">
        <v>350468000</v>
      </c>
      <c r="N15" s="46">
        <f t="shared" si="0"/>
        <v>0.15236769120147917</v>
      </c>
      <c r="O15" s="43">
        <v>53400000</v>
      </c>
      <c r="P15" s="46"/>
      <c r="Q15" s="43"/>
      <c r="R15" s="44">
        <f t="shared" si="1"/>
        <v>0</v>
      </c>
      <c r="S15" s="45">
        <f>0</f>
        <v>0</v>
      </c>
      <c r="T15" s="44">
        <f t="shared" si="2"/>
        <v>0</v>
      </c>
      <c r="U15" s="45">
        <f>0</f>
        <v>0</v>
      </c>
      <c r="V15" s="47">
        <f t="shared" si="6"/>
        <v>0.15236769120147917</v>
      </c>
      <c r="W15" s="48">
        <f t="shared" si="6"/>
        <v>53400000</v>
      </c>
      <c r="X15" s="47">
        <f t="shared" si="3"/>
        <v>0.15236769120147917</v>
      </c>
      <c r="Y15" s="47">
        <f t="shared" si="3"/>
        <v>0.15236769120147917</v>
      </c>
      <c r="Z15" s="47">
        <f t="shared" si="4"/>
        <v>1.1454676912014792</v>
      </c>
      <c r="AA15" s="49">
        <f t="shared" si="4"/>
        <v>207892000</v>
      </c>
      <c r="AB15" s="50">
        <f t="shared" si="5"/>
        <v>1.1454676912014792</v>
      </c>
      <c r="AC15" s="42">
        <f t="shared" si="5"/>
        <v>0.52569951114360602</v>
      </c>
      <c r="AD15" s="51"/>
      <c r="AE15" s="51"/>
    </row>
    <row r="16" spans="1:31" s="11" customFormat="1" ht="51" customHeight="1" x14ac:dyDescent="0.25">
      <c r="A16" s="51"/>
      <c r="B16" s="51"/>
      <c r="C16" s="51"/>
      <c r="D16" s="51"/>
      <c r="E16" s="51"/>
      <c r="F16" s="41" t="s">
        <v>120</v>
      </c>
      <c r="G16" s="41" t="s">
        <v>35</v>
      </c>
      <c r="H16" s="42">
        <v>1</v>
      </c>
      <c r="I16" s="43">
        <f>145100000</f>
        <v>145100000</v>
      </c>
      <c r="J16" s="44">
        <v>0.65380000000000005</v>
      </c>
      <c r="K16" s="45">
        <v>215640000</v>
      </c>
      <c r="L16" s="42">
        <v>1</v>
      </c>
      <c r="M16" s="43">
        <v>193667500</v>
      </c>
      <c r="N16" s="46">
        <f t="shared" si="0"/>
        <v>0.17754347012276195</v>
      </c>
      <c r="O16" s="43">
        <v>34384400</v>
      </c>
      <c r="P16" s="46"/>
      <c r="Q16" s="43"/>
      <c r="R16" s="44">
        <f t="shared" si="1"/>
        <v>0</v>
      </c>
      <c r="S16" s="45">
        <f>0</f>
        <v>0</v>
      </c>
      <c r="T16" s="44">
        <f t="shared" si="2"/>
        <v>0</v>
      </c>
      <c r="U16" s="45">
        <f>0</f>
        <v>0</v>
      </c>
      <c r="V16" s="47">
        <f t="shared" si="6"/>
        <v>0.17754347012276195</v>
      </c>
      <c r="W16" s="48">
        <f t="shared" si="6"/>
        <v>34384400</v>
      </c>
      <c r="X16" s="47">
        <f t="shared" si="3"/>
        <v>0.17754347012276195</v>
      </c>
      <c r="Y16" s="47">
        <f t="shared" si="3"/>
        <v>0.17754347012276195</v>
      </c>
      <c r="Z16" s="47">
        <f t="shared" si="4"/>
        <v>0.831343470122762</v>
      </c>
      <c r="AA16" s="49">
        <f t="shared" si="4"/>
        <v>250024400</v>
      </c>
      <c r="AB16" s="50">
        <f>Z16/H16</f>
        <v>0.831343470122762</v>
      </c>
      <c r="AC16" s="42">
        <v>0</v>
      </c>
      <c r="AD16" s="51"/>
      <c r="AE16" s="51"/>
    </row>
    <row r="17" spans="1:31" s="11" customFormat="1" ht="99" customHeight="1" x14ac:dyDescent="0.25">
      <c r="A17" s="51"/>
      <c r="B17" s="51"/>
      <c r="C17" s="51"/>
      <c r="D17" s="51"/>
      <c r="E17" s="51"/>
      <c r="F17" s="52" t="s">
        <v>36</v>
      </c>
      <c r="G17" s="41" t="s">
        <v>37</v>
      </c>
      <c r="H17" s="42">
        <v>1</v>
      </c>
      <c r="I17" s="43">
        <f>625000000+687500000+756250000+831875000+915062500</f>
        <v>3815687500</v>
      </c>
      <c r="J17" s="44">
        <v>0.99250000000000005</v>
      </c>
      <c r="K17" s="45">
        <v>421722000</v>
      </c>
      <c r="L17" s="42">
        <v>1</v>
      </c>
      <c r="M17" s="43">
        <v>488110000</v>
      </c>
      <c r="N17" s="46">
        <f t="shared" si="0"/>
        <v>0.37240068836942491</v>
      </c>
      <c r="O17" s="43">
        <v>181772500</v>
      </c>
      <c r="P17" s="46"/>
      <c r="Q17" s="45"/>
      <c r="R17" s="44">
        <f t="shared" si="1"/>
        <v>0</v>
      </c>
      <c r="S17" s="45">
        <f>0</f>
        <v>0</v>
      </c>
      <c r="T17" s="44">
        <f t="shared" si="2"/>
        <v>0</v>
      </c>
      <c r="U17" s="45">
        <f>0</f>
        <v>0</v>
      </c>
      <c r="V17" s="53">
        <f t="shared" si="6"/>
        <v>0.37240068836942491</v>
      </c>
      <c r="W17" s="48">
        <f t="shared" si="6"/>
        <v>181772500</v>
      </c>
      <c r="X17" s="53">
        <f>V17/L17</f>
        <v>0.37240068836942491</v>
      </c>
      <c r="Y17" s="53">
        <f t="shared" si="3"/>
        <v>0.37240068836942491</v>
      </c>
      <c r="Z17" s="47">
        <f>J17+V17</f>
        <v>1.364900688369425</v>
      </c>
      <c r="AA17" s="49">
        <f t="shared" si="4"/>
        <v>603494500</v>
      </c>
      <c r="AB17" s="50">
        <f t="shared" si="5"/>
        <v>1.364900688369425</v>
      </c>
      <c r="AC17" s="42">
        <f t="shared" si="5"/>
        <v>0.15816140603757514</v>
      </c>
      <c r="AD17" s="51"/>
      <c r="AE17" s="51"/>
    </row>
    <row r="18" spans="1:31" s="11" customFormat="1" ht="101.25" customHeight="1" x14ac:dyDescent="0.25">
      <c r="A18" s="51"/>
      <c r="B18" s="51"/>
      <c r="C18" s="51"/>
      <c r="D18" s="51"/>
      <c r="E18" s="51"/>
      <c r="F18" s="52" t="s">
        <v>38</v>
      </c>
      <c r="G18" s="41" t="s">
        <v>39</v>
      </c>
      <c r="H18" s="42">
        <v>1</v>
      </c>
      <c r="I18" s="43">
        <f>81450000+89595000+98554500+108409950+119250945</f>
        <v>497260395</v>
      </c>
      <c r="J18" s="44">
        <v>0.51539999999999997</v>
      </c>
      <c r="K18" s="45">
        <v>8246000</v>
      </c>
      <c r="L18" s="42">
        <v>1</v>
      </c>
      <c r="M18" s="43">
        <v>9360000</v>
      </c>
      <c r="N18" s="46">
        <f t="shared" si="0"/>
        <v>9.6153846153846159E-2</v>
      </c>
      <c r="O18" s="43">
        <v>900000</v>
      </c>
      <c r="P18" s="46"/>
      <c r="Q18" s="45"/>
      <c r="R18" s="44">
        <f t="shared" si="1"/>
        <v>0</v>
      </c>
      <c r="S18" s="45">
        <f>0</f>
        <v>0</v>
      </c>
      <c r="T18" s="44">
        <f t="shared" si="2"/>
        <v>0</v>
      </c>
      <c r="U18" s="45">
        <f>0</f>
        <v>0</v>
      </c>
      <c r="V18" s="47">
        <f t="shared" si="6"/>
        <v>9.6153846153846159E-2</v>
      </c>
      <c r="W18" s="48">
        <f t="shared" si="6"/>
        <v>900000</v>
      </c>
      <c r="X18" s="47">
        <f t="shared" si="3"/>
        <v>9.6153846153846159E-2</v>
      </c>
      <c r="Y18" s="47">
        <f t="shared" si="3"/>
        <v>9.6153846153846159E-2</v>
      </c>
      <c r="Z18" s="47">
        <f t="shared" si="4"/>
        <v>0.61155384615384611</v>
      </c>
      <c r="AA18" s="49">
        <f t="shared" si="4"/>
        <v>9146000</v>
      </c>
      <c r="AB18" s="50">
        <f t="shared" si="5"/>
        <v>0.61155384615384611</v>
      </c>
      <c r="AC18" s="42">
        <f t="shared" si="5"/>
        <v>1.8392777892556677E-2</v>
      </c>
      <c r="AD18" s="51"/>
      <c r="AE18" s="51"/>
    </row>
    <row r="19" spans="1:31" s="9" customFormat="1" ht="91.5" customHeight="1" x14ac:dyDescent="0.25">
      <c r="A19" s="54"/>
      <c r="B19" s="79" t="s">
        <v>40</v>
      </c>
      <c r="C19" s="79"/>
      <c r="D19" s="79"/>
      <c r="E19" s="79"/>
      <c r="F19" s="34" t="s">
        <v>41</v>
      </c>
      <c r="G19" s="35" t="s">
        <v>42</v>
      </c>
      <c r="H19" s="36">
        <f>AVERAGE(H24:H29)</f>
        <v>1</v>
      </c>
      <c r="I19" s="37">
        <f>SUM(I20:I33)</f>
        <v>16472763423</v>
      </c>
      <c r="J19" s="38">
        <f>AVERAGE(J24:J29)</f>
        <v>0.71553333333333324</v>
      </c>
      <c r="K19" s="37">
        <f>SUM(K20:K33)</f>
        <v>5859840000</v>
      </c>
      <c r="L19" s="36">
        <f>AVERAGE(L24:L29)</f>
        <v>1</v>
      </c>
      <c r="M19" s="37">
        <f>SUM(M21:M33)</f>
        <v>1726775000</v>
      </c>
      <c r="N19" s="38">
        <f>AVERAGE(N24:N29)</f>
        <v>2.7134004729223653E-2</v>
      </c>
      <c r="O19" s="37">
        <f>SUM(O24:O29)</f>
        <v>80299650</v>
      </c>
      <c r="P19" s="38"/>
      <c r="Q19" s="37"/>
      <c r="R19" s="38">
        <f>AVERAGE(R23:R29)</f>
        <v>0</v>
      </c>
      <c r="S19" s="39">
        <f>SUM(S21:S33)</f>
        <v>0</v>
      </c>
      <c r="T19" s="38">
        <f t="shared" si="2"/>
        <v>0</v>
      </c>
      <c r="U19" s="39">
        <f>SUM(U23:U33)</f>
        <v>0</v>
      </c>
      <c r="V19" s="38">
        <f>AVERAGE(V24:V29)</f>
        <v>2.7134004729223653E-2</v>
      </c>
      <c r="W19" s="37">
        <f>SUM(W24:W29)</f>
        <v>80299650</v>
      </c>
      <c r="X19" s="38">
        <f>AVERAGE(X24:X29)</f>
        <v>2.7134004729223653E-2</v>
      </c>
      <c r="Y19" s="38">
        <f>AVERAGE(Y24:Y29)</f>
        <v>2.7134004729223653E-2</v>
      </c>
      <c r="Z19" s="55">
        <f t="shared" si="4"/>
        <v>0.74266733806255691</v>
      </c>
      <c r="AA19" s="40">
        <f t="shared" si="4"/>
        <v>5940139650</v>
      </c>
      <c r="AB19" s="36">
        <f>AVERAGE(AB24:AB29)</f>
        <v>0.74266733806255691</v>
      </c>
      <c r="AC19" s="36">
        <f>AVERAGE(AC24:AC29)</f>
        <v>0.19614697653753843</v>
      </c>
      <c r="AD19" s="33"/>
      <c r="AE19" s="33"/>
    </row>
    <row r="20" spans="1:31" s="9" customFormat="1" ht="30" customHeight="1" x14ac:dyDescent="0.25">
      <c r="A20" s="54"/>
      <c r="B20" s="54"/>
      <c r="C20" s="54"/>
      <c r="D20" s="54"/>
      <c r="E20" s="54"/>
      <c r="F20" s="52" t="s">
        <v>43</v>
      </c>
      <c r="G20" s="56" t="s">
        <v>44</v>
      </c>
      <c r="H20" s="57">
        <v>1</v>
      </c>
      <c r="I20" s="43">
        <f>0</f>
        <v>0</v>
      </c>
      <c r="J20" s="44">
        <f>T20</f>
        <v>0</v>
      </c>
      <c r="K20" s="37" t="s">
        <v>45</v>
      </c>
      <c r="L20" s="36">
        <v>1</v>
      </c>
      <c r="M20" s="43">
        <f>0</f>
        <v>0</v>
      </c>
      <c r="N20" s="46">
        <f>0</f>
        <v>0</v>
      </c>
      <c r="O20" s="43">
        <f>0</f>
        <v>0</v>
      </c>
      <c r="P20" s="46"/>
      <c r="Q20" s="43"/>
      <c r="R20" s="44">
        <f>0</f>
        <v>0</v>
      </c>
      <c r="S20" s="45">
        <f>0</f>
        <v>0</v>
      </c>
      <c r="T20" s="44">
        <f>0</f>
        <v>0</v>
      </c>
      <c r="U20" s="45">
        <f>0</f>
        <v>0</v>
      </c>
      <c r="V20" s="47">
        <f t="shared" si="6"/>
        <v>0</v>
      </c>
      <c r="W20" s="48">
        <f t="shared" si="6"/>
        <v>0</v>
      </c>
      <c r="X20" s="44">
        <f>V20/L20</f>
        <v>0</v>
      </c>
      <c r="Y20" s="58">
        <v>0</v>
      </c>
      <c r="Z20" s="47">
        <f t="shared" si="4"/>
        <v>0</v>
      </c>
      <c r="AA20" s="49">
        <f>0</f>
        <v>0</v>
      </c>
      <c r="AB20" s="36"/>
      <c r="AC20" s="36"/>
      <c r="AD20" s="33"/>
      <c r="AE20" s="33"/>
    </row>
    <row r="21" spans="1:31" s="9" customFormat="1" ht="42.75" customHeight="1" x14ac:dyDescent="0.25">
      <c r="A21" s="54"/>
      <c r="B21" s="54"/>
      <c r="C21" s="54"/>
      <c r="D21" s="54"/>
      <c r="E21" s="54"/>
      <c r="F21" s="41" t="s">
        <v>46</v>
      </c>
      <c r="G21" s="41" t="s">
        <v>47</v>
      </c>
      <c r="H21" s="57">
        <v>1</v>
      </c>
      <c r="I21" s="43">
        <f>0</f>
        <v>0</v>
      </c>
      <c r="J21" s="57">
        <v>1</v>
      </c>
      <c r="K21" s="43">
        <v>1224900000</v>
      </c>
      <c r="L21" s="42">
        <v>1</v>
      </c>
      <c r="M21" s="43">
        <f>0</f>
        <v>0</v>
      </c>
      <c r="N21" s="46">
        <f>0</f>
        <v>0</v>
      </c>
      <c r="O21" s="43">
        <f>0</f>
        <v>0</v>
      </c>
      <c r="P21" s="46"/>
      <c r="Q21" s="43"/>
      <c r="R21" s="44">
        <f>0</f>
        <v>0</v>
      </c>
      <c r="S21" s="45">
        <f>0</f>
        <v>0</v>
      </c>
      <c r="T21" s="44">
        <f>0</f>
        <v>0</v>
      </c>
      <c r="U21" s="45">
        <f>0</f>
        <v>0</v>
      </c>
      <c r="V21" s="46">
        <f t="shared" si="6"/>
        <v>0</v>
      </c>
      <c r="W21" s="43">
        <f>0</f>
        <v>0</v>
      </c>
      <c r="X21" s="44">
        <f>V21/L21</f>
        <v>0</v>
      </c>
      <c r="Y21" s="58">
        <v>0</v>
      </c>
      <c r="Z21" s="47">
        <f t="shared" si="4"/>
        <v>1</v>
      </c>
      <c r="AA21" s="49">
        <f>0</f>
        <v>0</v>
      </c>
      <c r="AB21" s="50">
        <f t="shared" ref="AB21:AC32" si="7">Z21/H21</f>
        <v>1</v>
      </c>
      <c r="AC21" s="42">
        <f>0</f>
        <v>0</v>
      </c>
      <c r="AD21" s="33"/>
      <c r="AE21" s="33"/>
    </row>
    <row r="22" spans="1:31" s="9" customFormat="1" ht="64.5" customHeight="1" x14ac:dyDescent="0.25">
      <c r="A22" s="54"/>
      <c r="B22" s="54"/>
      <c r="C22" s="54"/>
      <c r="D22" s="54"/>
      <c r="E22" s="54"/>
      <c r="F22" s="41" t="s">
        <v>48</v>
      </c>
      <c r="G22" s="41" t="s">
        <v>49</v>
      </c>
      <c r="H22" s="57">
        <v>1</v>
      </c>
      <c r="I22" s="43">
        <f>50150000+212850000+234135000+257548500+283303350</f>
        <v>1037986850</v>
      </c>
      <c r="J22" s="44">
        <f>T22</f>
        <v>0</v>
      </c>
      <c r="K22" s="43">
        <f>0</f>
        <v>0</v>
      </c>
      <c r="L22" s="42">
        <v>1</v>
      </c>
      <c r="M22" s="43">
        <f>0</f>
        <v>0</v>
      </c>
      <c r="N22" s="44">
        <f>0</f>
        <v>0</v>
      </c>
      <c r="O22" s="43">
        <f>0</f>
        <v>0</v>
      </c>
      <c r="P22" s="46"/>
      <c r="Q22" s="43"/>
      <c r="R22" s="44">
        <f>0</f>
        <v>0</v>
      </c>
      <c r="S22" s="45">
        <f>0</f>
        <v>0</v>
      </c>
      <c r="T22" s="44">
        <f>0</f>
        <v>0</v>
      </c>
      <c r="U22" s="45">
        <f>0</f>
        <v>0</v>
      </c>
      <c r="V22" s="46">
        <f>0</f>
        <v>0</v>
      </c>
      <c r="W22" s="43">
        <f>0</f>
        <v>0</v>
      </c>
      <c r="X22" s="44">
        <f>0</f>
        <v>0</v>
      </c>
      <c r="Y22" s="59">
        <v>1</v>
      </c>
      <c r="Z22" s="47">
        <f>0</f>
        <v>0</v>
      </c>
      <c r="AA22" s="49">
        <f>0</f>
        <v>0</v>
      </c>
      <c r="AB22" s="50">
        <f t="shared" si="7"/>
        <v>0</v>
      </c>
      <c r="AC22" s="42">
        <f t="shared" si="7"/>
        <v>0</v>
      </c>
      <c r="AD22" s="33"/>
      <c r="AE22" s="33"/>
    </row>
    <row r="23" spans="1:31" s="11" customFormat="1" ht="53.25" customHeight="1" x14ac:dyDescent="0.25">
      <c r="A23" s="51"/>
      <c r="B23" s="51"/>
      <c r="C23" s="51"/>
      <c r="D23" s="51"/>
      <c r="E23" s="51"/>
      <c r="F23" s="41" t="s">
        <v>50</v>
      </c>
      <c r="G23" s="41" t="s">
        <v>51</v>
      </c>
      <c r="H23" s="42">
        <v>1</v>
      </c>
      <c r="I23" s="43">
        <f>193500000+212850000+234135000+257548500+283303350</f>
        <v>1181336850</v>
      </c>
      <c r="J23" s="44">
        <v>0.83730000000000004</v>
      </c>
      <c r="K23" s="45">
        <v>511050000</v>
      </c>
      <c r="L23" s="42">
        <v>1</v>
      </c>
      <c r="M23" s="43">
        <v>96850000</v>
      </c>
      <c r="N23" s="46">
        <v>0</v>
      </c>
      <c r="O23" s="43">
        <f>0</f>
        <v>0</v>
      </c>
      <c r="P23" s="46"/>
      <c r="Q23" s="45"/>
      <c r="R23" s="44">
        <f>0</f>
        <v>0</v>
      </c>
      <c r="S23" s="45">
        <f>0</f>
        <v>0</v>
      </c>
      <c r="T23" s="44">
        <f>U23/M23</f>
        <v>0</v>
      </c>
      <c r="U23" s="45">
        <f>0</f>
        <v>0</v>
      </c>
      <c r="V23" s="46">
        <f t="shared" si="6"/>
        <v>0</v>
      </c>
      <c r="W23" s="43">
        <f t="shared" si="6"/>
        <v>0</v>
      </c>
      <c r="X23" s="44">
        <f>V23/L23</f>
        <v>0</v>
      </c>
      <c r="Y23" s="58">
        <v>0</v>
      </c>
      <c r="Z23" s="47">
        <f t="shared" si="4"/>
        <v>0.83730000000000004</v>
      </c>
      <c r="AA23" s="45">
        <f t="shared" si="4"/>
        <v>511050000</v>
      </c>
      <c r="AB23" s="50">
        <f t="shared" si="7"/>
        <v>0.83730000000000004</v>
      </c>
      <c r="AC23" s="42">
        <f t="shared" si="7"/>
        <v>0.43260311400596707</v>
      </c>
      <c r="AD23" s="51"/>
      <c r="AE23" s="51"/>
    </row>
    <row r="24" spans="1:31" s="11" customFormat="1" ht="62.25" customHeight="1" x14ac:dyDescent="0.25">
      <c r="A24" s="51"/>
      <c r="B24" s="51"/>
      <c r="C24" s="51"/>
      <c r="D24" s="51"/>
      <c r="E24" s="51"/>
      <c r="F24" s="41" t="s">
        <v>52</v>
      </c>
      <c r="G24" s="41" t="s">
        <v>53</v>
      </c>
      <c r="H24" s="42">
        <v>1</v>
      </c>
      <c r="I24" s="43">
        <f>417200000+458920000+504812000+555293200+610822520</f>
        <v>2547047720</v>
      </c>
      <c r="J24" s="44">
        <v>0.3417</v>
      </c>
      <c r="K24" s="45">
        <v>928190000</v>
      </c>
      <c r="L24" s="42">
        <v>1</v>
      </c>
      <c r="M24" s="43">
        <v>127540000</v>
      </c>
      <c r="N24" s="46">
        <f t="shared" ref="N24:N29" si="8">O24/M24</f>
        <v>0</v>
      </c>
      <c r="O24" s="43">
        <f>0</f>
        <v>0</v>
      </c>
      <c r="P24" s="46"/>
      <c r="Q24" s="43"/>
      <c r="R24" s="44">
        <f>S24/M24</f>
        <v>0</v>
      </c>
      <c r="S24" s="45">
        <f>0</f>
        <v>0</v>
      </c>
      <c r="T24" s="44">
        <f t="shared" ref="T24:T29" si="9">U24/M24</f>
        <v>0</v>
      </c>
      <c r="U24" s="45">
        <f>0</f>
        <v>0</v>
      </c>
      <c r="V24" s="46">
        <f>N24+P24+R24+T24</f>
        <v>0</v>
      </c>
      <c r="W24" s="43">
        <f t="shared" si="6"/>
        <v>0</v>
      </c>
      <c r="X24" s="47">
        <f t="shared" ref="X24:Y33" si="10">V24/L24</f>
        <v>0</v>
      </c>
      <c r="Y24" s="47">
        <f>W24/M24</f>
        <v>0</v>
      </c>
      <c r="Z24" s="47">
        <f t="shared" si="4"/>
        <v>0.3417</v>
      </c>
      <c r="AA24" s="45">
        <f t="shared" si="4"/>
        <v>928190000</v>
      </c>
      <c r="AB24" s="50">
        <f t="shared" si="7"/>
        <v>0.3417</v>
      </c>
      <c r="AC24" s="42">
        <f t="shared" si="7"/>
        <v>0.36441798585540441</v>
      </c>
      <c r="AD24" s="51"/>
      <c r="AE24" s="51"/>
    </row>
    <row r="25" spans="1:31" s="11" customFormat="1" ht="54.75" customHeight="1" x14ac:dyDescent="0.25">
      <c r="A25" s="51"/>
      <c r="B25" s="51"/>
      <c r="C25" s="51"/>
      <c r="D25" s="51"/>
      <c r="E25" s="51"/>
      <c r="F25" s="41" t="s">
        <v>121</v>
      </c>
      <c r="G25" s="60" t="s">
        <v>54</v>
      </c>
      <c r="H25" s="42">
        <v>1</v>
      </c>
      <c r="I25" s="43">
        <f>0</f>
        <v>0</v>
      </c>
      <c r="J25" s="44">
        <v>0.99470000000000003</v>
      </c>
      <c r="K25" s="45">
        <v>150610000</v>
      </c>
      <c r="L25" s="42">
        <v>1</v>
      </c>
      <c r="M25" s="43">
        <v>170610000</v>
      </c>
      <c r="N25" s="46">
        <f t="shared" si="8"/>
        <v>0</v>
      </c>
      <c r="O25" s="43">
        <f>0</f>
        <v>0</v>
      </c>
      <c r="P25" s="46"/>
      <c r="Q25" s="45"/>
      <c r="R25" s="44">
        <f>S25/M25</f>
        <v>0</v>
      </c>
      <c r="S25" s="45">
        <f>0</f>
        <v>0</v>
      </c>
      <c r="T25" s="44">
        <f t="shared" si="9"/>
        <v>0</v>
      </c>
      <c r="U25" s="45">
        <f>0</f>
        <v>0</v>
      </c>
      <c r="V25" s="46">
        <f>N25+P25+R25+T25</f>
        <v>0</v>
      </c>
      <c r="W25" s="43">
        <f t="shared" si="6"/>
        <v>0</v>
      </c>
      <c r="X25" s="47">
        <f t="shared" si="10"/>
        <v>0</v>
      </c>
      <c r="Y25" s="47">
        <f>W25/M25</f>
        <v>0</v>
      </c>
      <c r="Z25" s="47">
        <f t="shared" si="4"/>
        <v>0.99470000000000003</v>
      </c>
      <c r="AA25" s="45">
        <f t="shared" si="4"/>
        <v>150610000</v>
      </c>
      <c r="AB25" s="50">
        <f t="shared" si="7"/>
        <v>0.99470000000000003</v>
      </c>
      <c r="AC25" s="42">
        <f>0</f>
        <v>0</v>
      </c>
      <c r="AD25" s="51"/>
      <c r="AE25" s="51"/>
    </row>
    <row r="26" spans="1:31" s="11" customFormat="1" ht="78" customHeight="1" x14ac:dyDescent="0.25">
      <c r="A26" s="51"/>
      <c r="B26" s="51"/>
      <c r="C26" s="51"/>
      <c r="D26" s="51"/>
      <c r="E26" s="51"/>
      <c r="F26" s="41" t="s">
        <v>55</v>
      </c>
      <c r="G26" s="41" t="s">
        <v>56</v>
      </c>
      <c r="H26" s="42">
        <v>1</v>
      </c>
      <c r="I26" s="43">
        <f>78225000+86047500+94652250+104117475+114529223</f>
        <v>477571448</v>
      </c>
      <c r="J26" s="44">
        <v>0.75109999999999999</v>
      </c>
      <c r="K26" s="45">
        <v>63300000</v>
      </c>
      <c r="L26" s="42">
        <v>1</v>
      </c>
      <c r="M26" s="43">
        <f>0</f>
        <v>0</v>
      </c>
      <c r="N26" s="46">
        <f>0</f>
        <v>0</v>
      </c>
      <c r="O26" s="43">
        <f>0</f>
        <v>0</v>
      </c>
      <c r="P26" s="46"/>
      <c r="Q26" s="43"/>
      <c r="R26" s="44">
        <f>0</f>
        <v>0</v>
      </c>
      <c r="S26" s="45">
        <f>0</f>
        <v>0</v>
      </c>
      <c r="T26" s="44">
        <f>0</f>
        <v>0</v>
      </c>
      <c r="U26" s="45">
        <f>0</f>
        <v>0</v>
      </c>
      <c r="V26" s="46">
        <f t="shared" si="6"/>
        <v>0</v>
      </c>
      <c r="W26" s="43">
        <f t="shared" si="6"/>
        <v>0</v>
      </c>
      <c r="X26" s="47">
        <f t="shared" si="10"/>
        <v>0</v>
      </c>
      <c r="Y26" s="47">
        <f>0</f>
        <v>0</v>
      </c>
      <c r="Z26" s="47">
        <f t="shared" si="4"/>
        <v>0.75109999999999999</v>
      </c>
      <c r="AA26" s="45">
        <f t="shared" si="4"/>
        <v>63300000</v>
      </c>
      <c r="AB26" s="50">
        <f t="shared" si="7"/>
        <v>0.75109999999999999</v>
      </c>
      <c r="AC26" s="42">
        <f>AA26/I26</f>
        <v>0.1325456123164214</v>
      </c>
      <c r="AD26" s="51"/>
      <c r="AE26" s="51"/>
    </row>
    <row r="27" spans="1:31" s="10" customFormat="1" ht="54.75" customHeight="1" x14ac:dyDescent="0.25">
      <c r="A27" s="32"/>
      <c r="B27" s="32"/>
      <c r="C27" s="32"/>
      <c r="D27" s="32"/>
      <c r="E27" s="32"/>
      <c r="F27" s="41" t="s">
        <v>57</v>
      </c>
      <c r="G27" s="41" t="s">
        <v>58</v>
      </c>
      <c r="H27" s="42">
        <v>1</v>
      </c>
      <c r="I27" s="43">
        <f>253050000+278355000+306190500+336809550+370490505</f>
        <v>1544895555</v>
      </c>
      <c r="J27" s="44">
        <v>0.99370000000000003</v>
      </c>
      <c r="K27" s="45">
        <v>259290000</v>
      </c>
      <c r="L27" s="42">
        <v>1</v>
      </c>
      <c r="M27" s="43">
        <v>50700000</v>
      </c>
      <c r="N27" s="46">
        <f t="shared" si="8"/>
        <v>0</v>
      </c>
      <c r="O27" s="43">
        <f>0</f>
        <v>0</v>
      </c>
      <c r="P27" s="46"/>
      <c r="Q27" s="43"/>
      <c r="R27" s="44">
        <f>S27/M27</f>
        <v>0</v>
      </c>
      <c r="S27" s="45">
        <f>0</f>
        <v>0</v>
      </c>
      <c r="T27" s="44">
        <f t="shared" si="9"/>
        <v>0</v>
      </c>
      <c r="U27" s="45">
        <f>0</f>
        <v>0</v>
      </c>
      <c r="V27" s="47">
        <f t="shared" si="6"/>
        <v>0</v>
      </c>
      <c r="W27" s="48">
        <f t="shared" si="6"/>
        <v>0</v>
      </c>
      <c r="X27" s="47">
        <f t="shared" si="10"/>
        <v>0</v>
      </c>
      <c r="Y27" s="47">
        <f t="shared" si="10"/>
        <v>0</v>
      </c>
      <c r="Z27" s="47">
        <f t="shared" si="4"/>
        <v>0.99370000000000003</v>
      </c>
      <c r="AA27" s="49">
        <f t="shared" si="4"/>
        <v>259290000</v>
      </c>
      <c r="AB27" s="50">
        <f t="shared" si="7"/>
        <v>0.99370000000000003</v>
      </c>
      <c r="AC27" s="42">
        <f>AA27/I27</f>
        <v>0.16783658879774563</v>
      </c>
      <c r="AD27" s="51"/>
      <c r="AE27" s="51"/>
    </row>
    <row r="28" spans="1:31" s="10" customFormat="1" ht="64.5" customHeight="1" x14ac:dyDescent="0.25">
      <c r="A28" s="32"/>
      <c r="B28" s="32"/>
      <c r="C28" s="32"/>
      <c r="D28" s="32"/>
      <c r="E28" s="32"/>
      <c r="F28" s="41" t="s">
        <v>59</v>
      </c>
      <c r="G28" s="41" t="s">
        <v>60</v>
      </c>
      <c r="H28" s="42">
        <v>1</v>
      </c>
      <c r="I28" s="43">
        <f>350000000+385000000+423500000+465850000+512435000</f>
        <v>2136785000</v>
      </c>
      <c r="J28" s="44">
        <v>0.80120000000000002</v>
      </c>
      <c r="K28" s="45">
        <v>417750000</v>
      </c>
      <c r="L28" s="42">
        <v>1</v>
      </c>
      <c r="M28" s="43">
        <v>436345000</v>
      </c>
      <c r="N28" s="46">
        <f t="shared" si="8"/>
        <v>0.14012707834397095</v>
      </c>
      <c r="O28" s="43">
        <v>61143750</v>
      </c>
      <c r="P28" s="46"/>
      <c r="Q28" s="43"/>
      <c r="R28" s="44">
        <f t="shared" ref="R28:R29" si="11">S28/M28</f>
        <v>0</v>
      </c>
      <c r="S28" s="45">
        <f>0</f>
        <v>0</v>
      </c>
      <c r="T28" s="44">
        <f t="shared" si="9"/>
        <v>0</v>
      </c>
      <c r="U28" s="45">
        <f>0</f>
        <v>0</v>
      </c>
      <c r="V28" s="47">
        <f t="shared" si="6"/>
        <v>0.14012707834397095</v>
      </c>
      <c r="W28" s="48">
        <f t="shared" si="6"/>
        <v>61143750</v>
      </c>
      <c r="X28" s="47">
        <f t="shared" si="10"/>
        <v>0.14012707834397095</v>
      </c>
      <c r="Y28" s="47">
        <f t="shared" si="10"/>
        <v>0.14012707834397095</v>
      </c>
      <c r="Z28" s="47">
        <f t="shared" si="4"/>
        <v>0.941327078343971</v>
      </c>
      <c r="AA28" s="49">
        <f t="shared" si="4"/>
        <v>478893750</v>
      </c>
      <c r="AB28" s="50">
        <f t="shared" si="7"/>
        <v>0.941327078343971</v>
      </c>
      <c r="AC28" s="42">
        <f>AA28/I28</f>
        <v>0.22411882805242456</v>
      </c>
      <c r="AD28" s="51"/>
      <c r="AE28" s="51"/>
    </row>
    <row r="29" spans="1:31" s="10" customFormat="1" ht="75.75" customHeight="1" x14ac:dyDescent="0.25">
      <c r="A29" s="32"/>
      <c r="B29" s="32"/>
      <c r="C29" s="32"/>
      <c r="D29" s="32"/>
      <c r="E29" s="32"/>
      <c r="F29" s="41" t="s">
        <v>61</v>
      </c>
      <c r="G29" s="41" t="s">
        <v>62</v>
      </c>
      <c r="H29" s="42">
        <v>1</v>
      </c>
      <c r="I29" s="43">
        <f>400000000+1540000000+1694000000+1863400000+2049740000</f>
        <v>7547140000</v>
      </c>
      <c r="J29" s="44">
        <v>0.4108</v>
      </c>
      <c r="K29" s="45">
        <v>2154140000</v>
      </c>
      <c r="L29" s="42">
        <v>1</v>
      </c>
      <c r="M29" s="43">
        <v>844730000</v>
      </c>
      <c r="N29" s="46">
        <f t="shared" si="8"/>
        <v>2.267695003137097E-2</v>
      </c>
      <c r="O29" s="43">
        <v>19155900</v>
      </c>
      <c r="P29" s="46"/>
      <c r="Q29" s="43"/>
      <c r="R29" s="44">
        <f t="shared" si="11"/>
        <v>0</v>
      </c>
      <c r="S29" s="45">
        <f>0</f>
        <v>0</v>
      </c>
      <c r="T29" s="44">
        <f t="shared" si="9"/>
        <v>0</v>
      </c>
      <c r="U29" s="45">
        <f>0</f>
        <v>0</v>
      </c>
      <c r="V29" s="47">
        <f t="shared" si="6"/>
        <v>2.267695003137097E-2</v>
      </c>
      <c r="W29" s="48">
        <f t="shared" si="6"/>
        <v>19155900</v>
      </c>
      <c r="X29" s="47">
        <f t="shared" si="10"/>
        <v>2.267695003137097E-2</v>
      </c>
      <c r="Y29" s="47">
        <f t="shared" si="10"/>
        <v>2.267695003137097E-2</v>
      </c>
      <c r="Z29" s="47">
        <f t="shared" si="4"/>
        <v>0.43347695003137099</v>
      </c>
      <c r="AA29" s="49">
        <f t="shared" si="4"/>
        <v>2173295900</v>
      </c>
      <c r="AB29" s="50">
        <f t="shared" si="7"/>
        <v>0.43347695003137099</v>
      </c>
      <c r="AC29" s="42">
        <f>AA29/I29</f>
        <v>0.28796284420323459</v>
      </c>
      <c r="AD29" s="51"/>
      <c r="AE29" s="51"/>
    </row>
    <row r="30" spans="1:31" s="10" customFormat="1" ht="53.25" customHeight="1" x14ac:dyDescent="0.25">
      <c r="A30" s="32"/>
      <c r="B30" s="32"/>
      <c r="C30" s="32"/>
      <c r="D30" s="32"/>
      <c r="E30" s="32"/>
      <c r="F30" s="41" t="s">
        <v>63</v>
      </c>
      <c r="G30" s="41" t="s">
        <v>64</v>
      </c>
      <c r="H30" s="42">
        <v>1</v>
      </c>
      <c r="I30" s="43">
        <f>0</f>
        <v>0</v>
      </c>
      <c r="J30" s="44">
        <f t="shared" ref="J30:J32" si="12">T30</f>
        <v>0</v>
      </c>
      <c r="K30" s="45">
        <f>0</f>
        <v>0</v>
      </c>
      <c r="L30" s="42">
        <v>1</v>
      </c>
      <c r="M30" s="43">
        <f>0</f>
        <v>0</v>
      </c>
      <c r="N30" s="46">
        <f>0</f>
        <v>0</v>
      </c>
      <c r="O30" s="43">
        <f>0</f>
        <v>0</v>
      </c>
      <c r="P30" s="46"/>
      <c r="Q30" s="43"/>
      <c r="R30" s="44">
        <f>0</f>
        <v>0</v>
      </c>
      <c r="S30" s="45">
        <f>0</f>
        <v>0</v>
      </c>
      <c r="T30" s="44">
        <f>0</f>
        <v>0</v>
      </c>
      <c r="U30" s="45">
        <f>0</f>
        <v>0</v>
      </c>
      <c r="V30" s="47">
        <f t="shared" si="6"/>
        <v>0</v>
      </c>
      <c r="W30" s="48">
        <f t="shared" si="6"/>
        <v>0</v>
      </c>
      <c r="X30" s="47">
        <f t="shared" si="10"/>
        <v>0</v>
      </c>
      <c r="Y30" s="47">
        <f>0</f>
        <v>0</v>
      </c>
      <c r="Z30" s="47">
        <f t="shared" si="4"/>
        <v>0</v>
      </c>
      <c r="AA30" s="49">
        <f t="shared" si="4"/>
        <v>0</v>
      </c>
      <c r="AB30" s="50">
        <f t="shared" si="7"/>
        <v>0</v>
      </c>
      <c r="AC30" s="42">
        <v>0</v>
      </c>
      <c r="AD30" s="51"/>
      <c r="AE30" s="51"/>
    </row>
    <row r="31" spans="1:31" s="10" customFormat="1" ht="27" customHeight="1" x14ac:dyDescent="0.25">
      <c r="A31" s="32"/>
      <c r="B31" s="32"/>
      <c r="C31" s="32"/>
      <c r="D31" s="32"/>
      <c r="E31" s="32"/>
      <c r="F31" s="41" t="s">
        <v>65</v>
      </c>
      <c r="G31" s="41" t="s">
        <v>66</v>
      </c>
      <c r="H31" s="42">
        <v>1</v>
      </c>
      <c r="I31" s="43">
        <f>0</f>
        <v>0</v>
      </c>
      <c r="J31" s="44">
        <f t="shared" si="12"/>
        <v>0</v>
      </c>
      <c r="K31" s="45">
        <f>0</f>
        <v>0</v>
      </c>
      <c r="L31" s="42">
        <v>1</v>
      </c>
      <c r="M31" s="43">
        <f>0</f>
        <v>0</v>
      </c>
      <c r="N31" s="46">
        <f>0</f>
        <v>0</v>
      </c>
      <c r="O31" s="43">
        <f>0</f>
        <v>0</v>
      </c>
      <c r="P31" s="46"/>
      <c r="Q31" s="43"/>
      <c r="R31" s="44">
        <f>0</f>
        <v>0</v>
      </c>
      <c r="S31" s="45">
        <f>0</f>
        <v>0</v>
      </c>
      <c r="T31" s="44">
        <f>0</f>
        <v>0</v>
      </c>
      <c r="U31" s="45">
        <f>0</f>
        <v>0</v>
      </c>
      <c r="V31" s="47">
        <f t="shared" si="6"/>
        <v>0</v>
      </c>
      <c r="W31" s="48">
        <f t="shared" si="6"/>
        <v>0</v>
      </c>
      <c r="X31" s="47">
        <f t="shared" si="10"/>
        <v>0</v>
      </c>
      <c r="Y31" s="47">
        <f>0</f>
        <v>0</v>
      </c>
      <c r="Z31" s="47">
        <f t="shared" si="4"/>
        <v>0</v>
      </c>
      <c r="AA31" s="49">
        <f t="shared" si="4"/>
        <v>0</v>
      </c>
      <c r="AB31" s="50">
        <f t="shared" si="7"/>
        <v>0</v>
      </c>
      <c r="AC31" s="42">
        <v>0</v>
      </c>
      <c r="AD31" s="51"/>
      <c r="AE31" s="51"/>
    </row>
    <row r="32" spans="1:31" s="10" customFormat="1" ht="38.25" customHeight="1" x14ac:dyDescent="0.25">
      <c r="A32" s="32"/>
      <c r="B32" s="32"/>
      <c r="C32" s="32"/>
      <c r="D32" s="32"/>
      <c r="E32" s="32"/>
      <c r="F32" s="41" t="s">
        <v>67</v>
      </c>
      <c r="G32" s="41" t="s">
        <v>68</v>
      </c>
      <c r="H32" s="42">
        <v>1</v>
      </c>
      <c r="I32" s="43">
        <f>0</f>
        <v>0</v>
      </c>
      <c r="J32" s="44">
        <f t="shared" si="12"/>
        <v>0</v>
      </c>
      <c r="K32" s="45">
        <f>0</f>
        <v>0</v>
      </c>
      <c r="L32" s="42">
        <v>1</v>
      </c>
      <c r="M32" s="43">
        <f>0</f>
        <v>0</v>
      </c>
      <c r="N32" s="46">
        <f>0</f>
        <v>0</v>
      </c>
      <c r="O32" s="43">
        <f>0</f>
        <v>0</v>
      </c>
      <c r="P32" s="46"/>
      <c r="Q32" s="43"/>
      <c r="R32" s="44">
        <f>0</f>
        <v>0</v>
      </c>
      <c r="S32" s="45">
        <f>0</f>
        <v>0</v>
      </c>
      <c r="T32" s="44">
        <f>0</f>
        <v>0</v>
      </c>
      <c r="U32" s="45">
        <f>0</f>
        <v>0</v>
      </c>
      <c r="V32" s="47">
        <f t="shared" si="6"/>
        <v>0</v>
      </c>
      <c r="W32" s="48">
        <f t="shared" si="6"/>
        <v>0</v>
      </c>
      <c r="X32" s="47">
        <f t="shared" si="10"/>
        <v>0</v>
      </c>
      <c r="Y32" s="47">
        <f>0</f>
        <v>0</v>
      </c>
      <c r="Z32" s="47">
        <f t="shared" si="4"/>
        <v>0</v>
      </c>
      <c r="AA32" s="49">
        <f t="shared" si="4"/>
        <v>0</v>
      </c>
      <c r="AB32" s="50">
        <f t="shared" si="7"/>
        <v>0</v>
      </c>
      <c r="AC32" s="42">
        <v>0</v>
      </c>
      <c r="AD32" s="51"/>
      <c r="AE32" s="51"/>
    </row>
    <row r="33" spans="1:31" s="10" customFormat="1" ht="51.75" customHeight="1" x14ac:dyDescent="0.25">
      <c r="A33" s="32"/>
      <c r="B33" s="32"/>
      <c r="C33" s="32"/>
      <c r="D33" s="32"/>
      <c r="E33" s="32"/>
      <c r="F33" s="41" t="s">
        <v>69</v>
      </c>
      <c r="G33" s="41" t="s">
        <v>70</v>
      </c>
      <c r="H33" s="42">
        <v>1</v>
      </c>
      <c r="I33" s="43">
        <f>0</f>
        <v>0</v>
      </c>
      <c r="J33" s="44">
        <v>0.99609999999999999</v>
      </c>
      <c r="K33" s="45">
        <v>150610000</v>
      </c>
      <c r="L33" s="42">
        <v>1</v>
      </c>
      <c r="M33" s="43">
        <f>0</f>
        <v>0</v>
      </c>
      <c r="N33" s="46">
        <v>0</v>
      </c>
      <c r="O33" s="43">
        <f>0</f>
        <v>0</v>
      </c>
      <c r="P33" s="46"/>
      <c r="Q33" s="43"/>
      <c r="R33" s="44">
        <v>0</v>
      </c>
      <c r="S33" s="45">
        <f>0</f>
        <v>0</v>
      </c>
      <c r="T33" s="44">
        <v>0</v>
      </c>
      <c r="U33" s="45">
        <f>0</f>
        <v>0</v>
      </c>
      <c r="V33" s="47">
        <f t="shared" si="6"/>
        <v>0</v>
      </c>
      <c r="W33" s="48">
        <f t="shared" si="6"/>
        <v>0</v>
      </c>
      <c r="X33" s="47">
        <f t="shared" si="10"/>
        <v>0</v>
      </c>
      <c r="Y33" s="47">
        <v>0</v>
      </c>
      <c r="Z33" s="47">
        <f t="shared" ref="Z33:AA49" si="13">J33+V33</f>
        <v>0.99609999999999999</v>
      </c>
      <c r="AA33" s="49">
        <f t="shared" si="13"/>
        <v>150610000</v>
      </c>
      <c r="AB33" s="50">
        <f>Z33/H33</f>
        <v>0.99609999999999999</v>
      </c>
      <c r="AC33" s="42">
        <v>1</v>
      </c>
      <c r="AD33" s="51"/>
      <c r="AE33" s="51"/>
    </row>
    <row r="34" spans="1:31" s="9" customFormat="1" ht="75" customHeight="1" x14ac:dyDescent="0.25">
      <c r="A34" s="54"/>
      <c r="B34" s="79" t="s">
        <v>71</v>
      </c>
      <c r="C34" s="79"/>
      <c r="D34" s="79"/>
      <c r="E34" s="79"/>
      <c r="F34" s="34" t="s">
        <v>72</v>
      </c>
      <c r="G34" s="61" t="s">
        <v>73</v>
      </c>
      <c r="H34" s="36">
        <f>AVERAGE(H35)</f>
        <v>1</v>
      </c>
      <c r="I34" s="37">
        <f>SUM(I35)</f>
        <v>4363620225</v>
      </c>
      <c r="J34" s="38">
        <f>AVERAGE(J35)</f>
        <v>0.97350000000000003</v>
      </c>
      <c r="K34" s="37">
        <f>SUM(K35)</f>
        <v>299840000</v>
      </c>
      <c r="L34" s="36">
        <f>AVERAGE(L35)</f>
        <v>1</v>
      </c>
      <c r="M34" s="37">
        <f>SUM(M35)</f>
        <v>261535000</v>
      </c>
      <c r="N34" s="38">
        <f>AVERAGE(N35)</f>
        <v>0</v>
      </c>
      <c r="O34" s="37">
        <f>SUM(O35)</f>
        <v>0</v>
      </c>
      <c r="P34" s="38"/>
      <c r="Q34" s="37"/>
      <c r="R34" s="38">
        <f>AVERAGE(R35)</f>
        <v>0</v>
      </c>
      <c r="S34" s="39">
        <f>SUM(S35)</f>
        <v>0</v>
      </c>
      <c r="T34" s="38">
        <f>AVERAGE(T35)</f>
        <v>0</v>
      </c>
      <c r="U34" s="39">
        <f>SUM(U35)</f>
        <v>0</v>
      </c>
      <c r="V34" s="38">
        <f>AVERAGE(V35)</f>
        <v>0</v>
      </c>
      <c r="W34" s="37">
        <f>SUM(W35)</f>
        <v>0</v>
      </c>
      <c r="X34" s="38">
        <f>AVERAGE(X35)</f>
        <v>0</v>
      </c>
      <c r="Y34" s="38">
        <f>AVERAGE(Y35)</f>
        <v>0</v>
      </c>
      <c r="Z34" s="55">
        <f t="shared" si="13"/>
        <v>0.97350000000000003</v>
      </c>
      <c r="AA34" s="40">
        <f t="shared" si="13"/>
        <v>299840000</v>
      </c>
      <c r="AB34" s="62">
        <f t="shared" ref="AB34:AC35" si="14">Z34/H34*100</f>
        <v>97.350000000000009</v>
      </c>
      <c r="AC34" s="63">
        <f t="shared" si="14"/>
        <v>6.8713587466241979</v>
      </c>
      <c r="AD34" s="33"/>
      <c r="AE34" s="33"/>
    </row>
    <row r="35" spans="1:31" s="10" customFormat="1" ht="102" customHeight="1" x14ac:dyDescent="0.25">
      <c r="A35" s="32"/>
      <c r="B35" s="32"/>
      <c r="C35" s="32"/>
      <c r="D35" s="32"/>
      <c r="E35" s="32"/>
      <c r="F35" s="41" t="s">
        <v>74</v>
      </c>
      <c r="G35" s="41" t="s">
        <v>75</v>
      </c>
      <c r="H35" s="42">
        <v>1</v>
      </c>
      <c r="I35" s="43">
        <f>714750000+786225000+864847500+951332250+1046465475</f>
        <v>4363620225</v>
      </c>
      <c r="J35" s="44">
        <v>0.97350000000000003</v>
      </c>
      <c r="K35" s="45">
        <v>299840000</v>
      </c>
      <c r="L35" s="42">
        <v>1</v>
      </c>
      <c r="M35" s="43">
        <v>261535000</v>
      </c>
      <c r="N35" s="46">
        <f>O35/M35</f>
        <v>0</v>
      </c>
      <c r="O35" s="43">
        <v>0</v>
      </c>
      <c r="P35" s="46"/>
      <c r="Q35" s="43"/>
      <c r="R35" s="44">
        <f>S35/M35</f>
        <v>0</v>
      </c>
      <c r="S35" s="45">
        <f>0</f>
        <v>0</v>
      </c>
      <c r="T35" s="44">
        <f>U35/M35</f>
        <v>0</v>
      </c>
      <c r="U35" s="45">
        <f>0</f>
        <v>0</v>
      </c>
      <c r="V35" s="47">
        <f t="shared" si="6"/>
        <v>0</v>
      </c>
      <c r="W35" s="48">
        <f t="shared" si="6"/>
        <v>0</v>
      </c>
      <c r="X35" s="47">
        <f>V35/L35</f>
        <v>0</v>
      </c>
      <c r="Y35" s="47">
        <f>W35/M35</f>
        <v>0</v>
      </c>
      <c r="Z35" s="47">
        <f t="shared" si="13"/>
        <v>0.97350000000000003</v>
      </c>
      <c r="AA35" s="49">
        <f t="shared" si="13"/>
        <v>299840000</v>
      </c>
      <c r="AB35" s="50">
        <f>Z35/H35</f>
        <v>0.97350000000000003</v>
      </c>
      <c r="AC35" s="64">
        <f t="shared" si="14"/>
        <v>6.8713587466241979</v>
      </c>
      <c r="AD35" s="51"/>
      <c r="AE35" s="51"/>
    </row>
    <row r="36" spans="1:31" s="9" customFormat="1" ht="62.25" customHeight="1" x14ac:dyDescent="0.25">
      <c r="A36" s="54"/>
      <c r="B36" s="79" t="s">
        <v>71</v>
      </c>
      <c r="C36" s="79"/>
      <c r="D36" s="79"/>
      <c r="E36" s="79"/>
      <c r="F36" s="61" t="s">
        <v>76</v>
      </c>
      <c r="G36" s="61" t="s">
        <v>77</v>
      </c>
      <c r="H36" s="36">
        <f>AVERAGE(H37)</f>
        <v>1</v>
      </c>
      <c r="I36" s="37">
        <f>SUM(I37)</f>
        <v>2442040000</v>
      </c>
      <c r="J36" s="38">
        <f>AVERAGE(J37)</f>
        <v>0.7006</v>
      </c>
      <c r="K36" s="37">
        <f>SUM(K37)</f>
        <v>248760000</v>
      </c>
      <c r="L36" s="36">
        <f>AVERAGE(L37)</f>
        <v>1</v>
      </c>
      <c r="M36" s="37">
        <f>SUM(M37)</f>
        <v>0</v>
      </c>
      <c r="N36" s="38">
        <f>0</f>
        <v>0</v>
      </c>
      <c r="O36" s="37">
        <f>SUM(O37)</f>
        <v>0</v>
      </c>
      <c r="P36" s="38"/>
      <c r="Q36" s="37"/>
      <c r="R36" s="38">
        <f>AVERAGE(R37)</f>
        <v>0</v>
      </c>
      <c r="S36" s="39">
        <f>SUM(S37)</f>
        <v>0</v>
      </c>
      <c r="T36" s="38">
        <f>AVERAGE(T37)</f>
        <v>0</v>
      </c>
      <c r="U36" s="39">
        <f>SUM(U37)</f>
        <v>0</v>
      </c>
      <c r="V36" s="38">
        <f>AVERAGE(V37)</f>
        <v>0</v>
      </c>
      <c r="W36" s="37">
        <f>SUM(W37)</f>
        <v>0</v>
      </c>
      <c r="X36" s="38">
        <f>AVERAGE(X37)</f>
        <v>0</v>
      </c>
      <c r="Y36" s="38">
        <f>AVERAGE(Y37)</f>
        <v>0</v>
      </c>
      <c r="Z36" s="55">
        <f t="shared" si="13"/>
        <v>0.7006</v>
      </c>
      <c r="AA36" s="37">
        <f>SUM(AA37)</f>
        <v>248760000</v>
      </c>
      <c r="AB36" s="36">
        <f>AVERAGE(AB37)</f>
        <v>0.7006</v>
      </c>
      <c r="AC36" s="36">
        <f>AVERAGE(AC37)</f>
        <v>0.10186565330625215</v>
      </c>
      <c r="AD36" s="33"/>
      <c r="AE36" s="33"/>
    </row>
    <row r="37" spans="1:31" s="10" customFormat="1" ht="50.25" customHeight="1" x14ac:dyDescent="0.25">
      <c r="A37" s="32"/>
      <c r="B37" s="32"/>
      <c r="C37" s="32"/>
      <c r="D37" s="32"/>
      <c r="E37" s="32"/>
      <c r="F37" s="41" t="s">
        <v>122</v>
      </c>
      <c r="G37" s="41" t="s">
        <v>78</v>
      </c>
      <c r="H37" s="42">
        <v>1</v>
      </c>
      <c r="I37" s="43">
        <f>400000000+440000000+484000000+532400000+585640000</f>
        <v>2442040000</v>
      </c>
      <c r="J37" s="44">
        <v>0.7006</v>
      </c>
      <c r="K37" s="45">
        <v>248760000</v>
      </c>
      <c r="L37" s="42">
        <v>1</v>
      </c>
      <c r="M37" s="43">
        <f>0</f>
        <v>0</v>
      </c>
      <c r="N37" s="46">
        <f>0</f>
        <v>0</v>
      </c>
      <c r="O37" s="43">
        <f>0</f>
        <v>0</v>
      </c>
      <c r="P37" s="46"/>
      <c r="Q37" s="43"/>
      <c r="R37" s="44">
        <f>0</f>
        <v>0</v>
      </c>
      <c r="S37" s="45">
        <f>0</f>
        <v>0</v>
      </c>
      <c r="T37" s="44">
        <f>0</f>
        <v>0</v>
      </c>
      <c r="U37" s="45">
        <f>0</f>
        <v>0</v>
      </c>
      <c r="V37" s="47">
        <f t="shared" ref="V37:W50" si="15">N37+P37+R37+T37</f>
        <v>0</v>
      </c>
      <c r="W37" s="48">
        <f t="shared" si="15"/>
        <v>0</v>
      </c>
      <c r="X37" s="47">
        <f>V37/L37</f>
        <v>0</v>
      </c>
      <c r="Y37" s="47">
        <f>0</f>
        <v>0</v>
      </c>
      <c r="Z37" s="47">
        <f t="shared" si="13"/>
        <v>0.7006</v>
      </c>
      <c r="AA37" s="49">
        <f>K37+W37</f>
        <v>248760000</v>
      </c>
      <c r="AB37" s="50">
        <f>Z37/H37</f>
        <v>0.7006</v>
      </c>
      <c r="AC37" s="42">
        <f>AA37/I37</f>
        <v>0.10186565330625215</v>
      </c>
      <c r="AD37" s="51"/>
      <c r="AE37" s="51"/>
    </row>
    <row r="38" spans="1:31" s="12" customFormat="1" ht="102.75" customHeight="1" x14ac:dyDescent="0.25">
      <c r="A38" s="33"/>
      <c r="B38" s="79" t="s">
        <v>79</v>
      </c>
      <c r="C38" s="79"/>
      <c r="D38" s="79"/>
      <c r="E38" s="79"/>
      <c r="F38" s="61" t="s">
        <v>80</v>
      </c>
      <c r="G38" s="61" t="s">
        <v>81</v>
      </c>
      <c r="H38" s="36">
        <f>AVERAGE(H39)</f>
        <v>1</v>
      </c>
      <c r="I38" s="37">
        <f>SUM(I39)</f>
        <v>91576500</v>
      </c>
      <c r="J38" s="38">
        <f>AVERAGE(J39)</f>
        <v>0.96789999999999998</v>
      </c>
      <c r="K38" s="37">
        <f>SUM(K39)</f>
        <v>15000000</v>
      </c>
      <c r="L38" s="36">
        <f>AVERAGE(L39)</f>
        <v>1</v>
      </c>
      <c r="M38" s="37">
        <f>SUM(M39)</f>
        <v>15000000</v>
      </c>
      <c r="N38" s="38">
        <f>AVERAGE(N39)</f>
        <v>0</v>
      </c>
      <c r="O38" s="37">
        <f>SUM(O39)</f>
        <v>0</v>
      </c>
      <c r="P38" s="38"/>
      <c r="Q38" s="37"/>
      <c r="R38" s="38">
        <f>AVERAGE(R39)</f>
        <v>0</v>
      </c>
      <c r="S38" s="39">
        <f>SUM(S39)</f>
        <v>0</v>
      </c>
      <c r="T38" s="38">
        <f>AVERAGE(T39)</f>
        <v>0</v>
      </c>
      <c r="U38" s="39">
        <f>SUM(U39)</f>
        <v>0</v>
      </c>
      <c r="V38" s="38">
        <f>AVERAGE(V39)</f>
        <v>0</v>
      </c>
      <c r="W38" s="37">
        <f>SUM(W39)</f>
        <v>0</v>
      </c>
      <c r="X38" s="38">
        <f>AVERAGE(X39)</f>
        <v>0</v>
      </c>
      <c r="Y38" s="38">
        <f>AVERAGE(Y39)</f>
        <v>0</v>
      </c>
      <c r="Z38" s="55">
        <f t="shared" si="13"/>
        <v>0.96789999999999998</v>
      </c>
      <c r="AA38" s="40">
        <f t="shared" si="13"/>
        <v>15000000</v>
      </c>
      <c r="AB38" s="36">
        <f>AVERAGE(AB39)</f>
        <v>0.96789999999999998</v>
      </c>
      <c r="AC38" s="36">
        <f>AVERAGE(AC39)</f>
        <v>0.16379748079474538</v>
      </c>
      <c r="AD38" s="33"/>
      <c r="AE38" s="33"/>
    </row>
    <row r="39" spans="1:31" s="10" customFormat="1" ht="91.5" customHeight="1" x14ac:dyDescent="0.25">
      <c r="A39" s="32"/>
      <c r="B39" s="32"/>
      <c r="C39" s="32"/>
      <c r="D39" s="32"/>
      <c r="E39" s="32"/>
      <c r="F39" s="41" t="s">
        <v>82</v>
      </c>
      <c r="G39" s="41" t="s">
        <v>83</v>
      </c>
      <c r="H39" s="42">
        <v>1</v>
      </c>
      <c r="I39" s="43">
        <f>15000000+16500000+18150000+19965000+21961500</f>
        <v>91576500</v>
      </c>
      <c r="J39" s="44">
        <v>0.96789999999999998</v>
      </c>
      <c r="K39" s="45">
        <v>15000000</v>
      </c>
      <c r="L39" s="42">
        <v>1</v>
      </c>
      <c r="M39" s="43">
        <v>15000000</v>
      </c>
      <c r="N39" s="46">
        <f>O39/M39</f>
        <v>0</v>
      </c>
      <c r="O39" s="43">
        <v>0</v>
      </c>
      <c r="P39" s="46"/>
      <c r="Q39" s="43"/>
      <c r="R39" s="44">
        <f>S39/M39</f>
        <v>0</v>
      </c>
      <c r="S39" s="45">
        <f>0</f>
        <v>0</v>
      </c>
      <c r="T39" s="44">
        <f>U39/M39</f>
        <v>0</v>
      </c>
      <c r="U39" s="45">
        <f>0</f>
        <v>0</v>
      </c>
      <c r="V39" s="47">
        <f t="shared" si="15"/>
        <v>0</v>
      </c>
      <c r="W39" s="48">
        <f t="shared" si="15"/>
        <v>0</v>
      </c>
      <c r="X39" s="47">
        <f>V39/L39</f>
        <v>0</v>
      </c>
      <c r="Y39" s="47">
        <f>W39/M39</f>
        <v>0</v>
      </c>
      <c r="Z39" s="47">
        <f t="shared" si="13"/>
        <v>0.96789999999999998</v>
      </c>
      <c r="AA39" s="49">
        <f t="shared" si="13"/>
        <v>15000000</v>
      </c>
      <c r="AB39" s="50">
        <f>Z39/H39</f>
        <v>0.96789999999999998</v>
      </c>
      <c r="AC39" s="42">
        <f>AA39/I39</f>
        <v>0.16379748079474538</v>
      </c>
      <c r="AD39" s="51"/>
      <c r="AE39" s="51"/>
    </row>
    <row r="40" spans="1:31" s="11" customFormat="1" ht="102" customHeight="1" x14ac:dyDescent="0.25">
      <c r="A40" s="51"/>
      <c r="B40" s="79" t="s">
        <v>79</v>
      </c>
      <c r="C40" s="79"/>
      <c r="D40" s="79"/>
      <c r="E40" s="79"/>
      <c r="F40" s="61" t="s">
        <v>84</v>
      </c>
      <c r="G40" s="65" t="s">
        <v>85</v>
      </c>
      <c r="H40" s="36">
        <f>AVERAGE(H41)</f>
        <v>1</v>
      </c>
      <c r="I40" s="37">
        <f>SUM(I41)</f>
        <v>137364750</v>
      </c>
      <c r="J40" s="38">
        <f>AVERAGE(J41)</f>
        <v>0.93330000000000002</v>
      </c>
      <c r="K40" s="37">
        <f>SUM(K41)</f>
        <v>20000000</v>
      </c>
      <c r="L40" s="36">
        <f>AVERAGE(L41)</f>
        <v>1</v>
      </c>
      <c r="M40" s="37">
        <f>SUM(M41)</f>
        <v>0</v>
      </c>
      <c r="N40" s="38">
        <f>AVERAGE(N41)</f>
        <v>0</v>
      </c>
      <c r="O40" s="37">
        <f>SUM(O41)</f>
        <v>0</v>
      </c>
      <c r="P40" s="38"/>
      <c r="Q40" s="37"/>
      <c r="R40" s="44">
        <f>AVERAGE(R41)</f>
        <v>0</v>
      </c>
      <c r="S40" s="39">
        <f>S41</f>
        <v>0</v>
      </c>
      <c r="T40" s="44">
        <f>AVERAGE(T41)</f>
        <v>0</v>
      </c>
      <c r="U40" s="39">
        <f>U41</f>
        <v>0</v>
      </c>
      <c r="V40" s="38">
        <f>AVERAGE(V41)</f>
        <v>0</v>
      </c>
      <c r="W40" s="37">
        <f>SUM(W41)</f>
        <v>0</v>
      </c>
      <c r="X40" s="38">
        <f>AVERAGE(X41)</f>
        <v>0</v>
      </c>
      <c r="Y40" s="38">
        <f>AVERAGE(Y41)</f>
        <v>0</v>
      </c>
      <c r="Z40" s="55">
        <f t="shared" si="13"/>
        <v>0.93330000000000002</v>
      </c>
      <c r="AA40" s="37">
        <f>SUM(AA41)</f>
        <v>20000000</v>
      </c>
      <c r="AB40" s="36">
        <f>AVERAGE(AB41)</f>
        <v>0.93330000000000002</v>
      </c>
      <c r="AC40" s="36">
        <f>AVERAGE(AC41)</f>
        <v>0.14559776070644034</v>
      </c>
      <c r="AD40" s="51"/>
      <c r="AE40" s="51"/>
    </row>
    <row r="41" spans="1:31" s="11" customFormat="1" ht="49.5" customHeight="1" x14ac:dyDescent="0.25">
      <c r="A41" s="51"/>
      <c r="B41" s="51"/>
      <c r="C41" s="51"/>
      <c r="D41" s="51"/>
      <c r="E41" s="51"/>
      <c r="F41" s="52" t="s">
        <v>86</v>
      </c>
      <c r="G41" s="66" t="s">
        <v>87</v>
      </c>
      <c r="H41" s="42">
        <v>1</v>
      </c>
      <c r="I41" s="43">
        <f>22500000+24750000+27225000+29947500+32942250</f>
        <v>137364750</v>
      </c>
      <c r="J41" s="44">
        <v>0.93330000000000002</v>
      </c>
      <c r="K41" s="45">
        <v>20000000</v>
      </c>
      <c r="L41" s="42">
        <v>1</v>
      </c>
      <c r="M41" s="43">
        <f>0</f>
        <v>0</v>
      </c>
      <c r="N41" s="46">
        <f>0</f>
        <v>0</v>
      </c>
      <c r="O41" s="43"/>
      <c r="P41" s="46"/>
      <c r="Q41" s="45"/>
      <c r="R41" s="44">
        <f>0</f>
        <v>0</v>
      </c>
      <c r="S41" s="45">
        <f>0</f>
        <v>0</v>
      </c>
      <c r="T41" s="44">
        <f>0</f>
        <v>0</v>
      </c>
      <c r="U41" s="45">
        <f>0</f>
        <v>0</v>
      </c>
      <c r="V41" s="67">
        <f>P41+N41</f>
        <v>0</v>
      </c>
      <c r="W41" s="48">
        <f t="shared" si="15"/>
        <v>0</v>
      </c>
      <c r="X41" s="47">
        <f>V41/L41</f>
        <v>0</v>
      </c>
      <c r="Y41" s="47">
        <f>0</f>
        <v>0</v>
      </c>
      <c r="Z41" s="47">
        <f t="shared" si="13"/>
        <v>0.93330000000000002</v>
      </c>
      <c r="AA41" s="49">
        <f t="shared" si="13"/>
        <v>20000000</v>
      </c>
      <c r="AB41" s="50">
        <f>Z41/H41</f>
        <v>0.93330000000000002</v>
      </c>
      <c r="AC41" s="42">
        <f>AA41/I41</f>
        <v>0.14559776070644034</v>
      </c>
      <c r="AD41" s="51"/>
      <c r="AE41" s="51"/>
    </row>
    <row r="42" spans="1:31" s="11" customFormat="1" ht="74.25" customHeight="1" x14ac:dyDescent="0.25">
      <c r="A42" s="51"/>
      <c r="B42" s="79" t="s">
        <v>88</v>
      </c>
      <c r="C42" s="79"/>
      <c r="D42" s="79"/>
      <c r="E42" s="79"/>
      <c r="F42" s="61" t="s">
        <v>89</v>
      </c>
      <c r="G42" s="65" t="s">
        <v>90</v>
      </c>
      <c r="H42" s="36">
        <f>AVERAGE(H43:H49)</f>
        <v>1</v>
      </c>
      <c r="I42" s="37">
        <f>SUM(I43:I49)</f>
        <v>128419773895</v>
      </c>
      <c r="J42" s="38">
        <f>AVERAGE(J43:J49)</f>
        <v>0.50990000000000002</v>
      </c>
      <c r="K42" s="37">
        <f>SUM(K43:K49)</f>
        <v>24940068000</v>
      </c>
      <c r="L42" s="36">
        <f>AVERAGE(L43:L49)</f>
        <v>1</v>
      </c>
      <c r="M42" s="37">
        <f>SUM(M43:M50)</f>
        <v>38603430000</v>
      </c>
      <c r="N42" s="38">
        <f>AVERAGE(N43:N49)</f>
        <v>0.10448576842400333</v>
      </c>
      <c r="O42" s="37">
        <f>SUM(O43:O49)</f>
        <v>8082240292</v>
      </c>
      <c r="P42" s="38"/>
      <c r="Q42" s="37"/>
      <c r="R42" s="44">
        <f>AVERAGE(R43:R49)</f>
        <v>0</v>
      </c>
      <c r="S42" s="39">
        <f>SUM(S43:S49)</f>
        <v>0</v>
      </c>
      <c r="T42" s="44">
        <f>AVERAGE(T43:T49)</f>
        <v>0</v>
      </c>
      <c r="U42" s="45">
        <f>0</f>
        <v>0</v>
      </c>
      <c r="V42" s="38">
        <f>AVERAGE(V43:V49)</f>
        <v>0.10448576842400333</v>
      </c>
      <c r="W42" s="37">
        <f>SUM(W43:W49)</f>
        <v>8082240292</v>
      </c>
      <c r="X42" s="38">
        <f>AVERAGE(X43:X49)</f>
        <v>0.10448576842400333</v>
      </c>
      <c r="Y42" s="38">
        <f>AVERAGE(Y43:Y49)</f>
        <v>0.10448576842400333</v>
      </c>
      <c r="Z42" s="55">
        <f t="shared" si="13"/>
        <v>0.61438576842400339</v>
      </c>
      <c r="AA42" s="37">
        <f>SUM(AA43:AA49)</f>
        <v>33022308292</v>
      </c>
      <c r="AB42" s="36">
        <f>AVERAGE(AB43:AB49)</f>
        <v>0.61438576842400328</v>
      </c>
      <c r="AC42" s="36">
        <f>AVERAGE(AC43:AC49)</f>
        <v>0.19818633583583173</v>
      </c>
      <c r="AD42" s="51"/>
      <c r="AE42" s="51"/>
    </row>
    <row r="43" spans="1:31" s="11" customFormat="1" ht="61.5" customHeight="1" x14ac:dyDescent="0.25">
      <c r="A43" s="51"/>
      <c r="B43" s="51"/>
      <c r="C43" s="51"/>
      <c r="D43" s="51"/>
      <c r="E43" s="51"/>
      <c r="F43" s="41" t="s">
        <v>91</v>
      </c>
      <c r="G43" s="66" t="s">
        <v>92</v>
      </c>
      <c r="H43" s="42">
        <v>1</v>
      </c>
      <c r="I43" s="43">
        <f>6500000000+7150000000+7865000000+8651500000+9516650000</f>
        <v>39683150000</v>
      </c>
      <c r="J43" s="44">
        <v>0.61680000000000001</v>
      </c>
      <c r="K43" s="45">
        <v>4138419000</v>
      </c>
      <c r="L43" s="42">
        <v>1</v>
      </c>
      <c r="M43" s="43">
        <v>9301360000</v>
      </c>
      <c r="N43" s="46">
        <f t="shared" ref="N43:N50" si="16">O43/M43</f>
        <v>5.1605356636018817E-3</v>
      </c>
      <c r="O43" s="43">
        <v>48000000</v>
      </c>
      <c r="P43" s="46"/>
      <c r="Q43" s="43"/>
      <c r="R43" s="44">
        <f>S43/M43</f>
        <v>0</v>
      </c>
      <c r="S43" s="45">
        <f>0</f>
        <v>0</v>
      </c>
      <c r="T43" s="44">
        <f>U43/M43</f>
        <v>0</v>
      </c>
      <c r="U43" s="45">
        <f>0</f>
        <v>0</v>
      </c>
      <c r="V43" s="68">
        <f t="shared" ref="V43:V50" si="17">N43+P43+R43+T43</f>
        <v>5.1605356636018817E-3</v>
      </c>
      <c r="W43" s="48">
        <f t="shared" si="15"/>
        <v>48000000</v>
      </c>
      <c r="X43" s="47">
        <f t="shared" ref="X43:Y50" si="18">V43/L43</f>
        <v>5.1605356636018817E-3</v>
      </c>
      <c r="Y43" s="47">
        <f t="shared" si="18"/>
        <v>5.1605356636018817E-3</v>
      </c>
      <c r="Z43" s="47">
        <f t="shared" si="13"/>
        <v>0.62196053566360188</v>
      </c>
      <c r="AA43" s="49">
        <f t="shared" si="13"/>
        <v>4186419000</v>
      </c>
      <c r="AB43" s="50">
        <f t="shared" ref="AB43:AC50" si="19">Z43/H43</f>
        <v>0.62196053566360188</v>
      </c>
      <c r="AC43" s="42">
        <f t="shared" si="19"/>
        <v>0.10549613626942418</v>
      </c>
      <c r="AD43" s="51"/>
      <c r="AE43" s="51"/>
    </row>
    <row r="44" spans="1:31" s="11" customFormat="1" ht="98.25" customHeight="1" x14ac:dyDescent="0.25">
      <c r="A44" s="51"/>
      <c r="B44" s="51"/>
      <c r="C44" s="51"/>
      <c r="D44" s="51"/>
      <c r="E44" s="51"/>
      <c r="F44" s="41" t="s">
        <v>93</v>
      </c>
      <c r="G44" s="66" t="s">
        <v>94</v>
      </c>
      <c r="H44" s="42">
        <v>1</v>
      </c>
      <c r="I44" s="43">
        <f>350000000+385000000+423500000+465850000+512435000</f>
        <v>2136785000</v>
      </c>
      <c r="J44" s="44">
        <v>0.27560000000000001</v>
      </c>
      <c r="K44" s="45">
        <v>201015000</v>
      </c>
      <c r="L44" s="42">
        <v>1</v>
      </c>
      <c r="M44" s="43">
        <v>166720000</v>
      </c>
      <c r="N44" s="46">
        <f t="shared" si="16"/>
        <v>0.13525671785028789</v>
      </c>
      <c r="O44" s="43">
        <v>22550000</v>
      </c>
      <c r="P44" s="46"/>
      <c r="Q44" s="43"/>
      <c r="R44" s="44">
        <f t="shared" ref="R44:R50" si="20">S44/M44</f>
        <v>0</v>
      </c>
      <c r="S44" s="45">
        <f>0</f>
        <v>0</v>
      </c>
      <c r="T44" s="44">
        <f t="shared" ref="T44:T50" si="21">U44/M44</f>
        <v>0</v>
      </c>
      <c r="U44" s="45">
        <f>0</f>
        <v>0</v>
      </c>
      <c r="V44" s="68">
        <f t="shared" si="17"/>
        <v>0.13525671785028789</v>
      </c>
      <c r="W44" s="48">
        <f t="shared" si="15"/>
        <v>22550000</v>
      </c>
      <c r="X44" s="47">
        <f t="shared" si="18"/>
        <v>0.13525671785028789</v>
      </c>
      <c r="Y44" s="47">
        <f t="shared" si="18"/>
        <v>0.13525671785028789</v>
      </c>
      <c r="Z44" s="47">
        <f t="shared" si="13"/>
        <v>0.41085671785028788</v>
      </c>
      <c r="AA44" s="49">
        <f t="shared" si="13"/>
        <v>223565000</v>
      </c>
      <c r="AB44" s="50">
        <f t="shared" si="19"/>
        <v>0.41085671785028788</v>
      </c>
      <c r="AC44" s="42">
        <f t="shared" si="19"/>
        <v>0.10462681083964928</v>
      </c>
      <c r="AD44" s="51"/>
      <c r="AE44" s="51"/>
    </row>
    <row r="45" spans="1:31" s="11" customFormat="1" ht="72.75" customHeight="1" x14ac:dyDescent="0.25">
      <c r="A45" s="51"/>
      <c r="B45" s="51"/>
      <c r="C45" s="51"/>
      <c r="D45" s="51"/>
      <c r="E45" s="51"/>
      <c r="F45" s="41" t="s">
        <v>95</v>
      </c>
      <c r="G45" s="66" t="s">
        <v>96</v>
      </c>
      <c r="H45" s="42">
        <v>1</v>
      </c>
      <c r="I45" s="43">
        <f>362700000+398970000+438867000+482753700+531029070</f>
        <v>2214319770</v>
      </c>
      <c r="J45" s="44">
        <v>0.80969999999999998</v>
      </c>
      <c r="K45" s="45">
        <v>402850000</v>
      </c>
      <c r="L45" s="42">
        <v>1</v>
      </c>
      <c r="M45" s="43">
        <v>533923000</v>
      </c>
      <c r="N45" s="46">
        <f t="shared" si="16"/>
        <v>0.11054964854482763</v>
      </c>
      <c r="O45" s="43">
        <v>59025000</v>
      </c>
      <c r="P45" s="46"/>
      <c r="Q45" s="43"/>
      <c r="R45" s="44">
        <f t="shared" si="20"/>
        <v>0</v>
      </c>
      <c r="S45" s="45">
        <f>0</f>
        <v>0</v>
      </c>
      <c r="T45" s="44">
        <f t="shared" si="21"/>
        <v>0</v>
      </c>
      <c r="U45" s="45">
        <f>0</f>
        <v>0</v>
      </c>
      <c r="V45" s="68">
        <f t="shared" si="17"/>
        <v>0.11054964854482763</v>
      </c>
      <c r="W45" s="48">
        <f t="shared" si="15"/>
        <v>59025000</v>
      </c>
      <c r="X45" s="47">
        <f t="shared" si="18"/>
        <v>0.11054964854482763</v>
      </c>
      <c r="Y45" s="47">
        <f t="shared" si="18"/>
        <v>0.11054964854482763</v>
      </c>
      <c r="Z45" s="47">
        <f t="shared" si="13"/>
        <v>0.9202496485448276</v>
      </c>
      <c r="AA45" s="49">
        <f t="shared" si="13"/>
        <v>461875000</v>
      </c>
      <c r="AB45" s="50">
        <f t="shared" si="19"/>
        <v>0.9202496485448276</v>
      </c>
      <c r="AC45" s="42">
        <f t="shared" si="19"/>
        <v>0.20858550163240425</v>
      </c>
      <c r="AD45" s="51"/>
      <c r="AE45" s="51"/>
    </row>
    <row r="46" spans="1:31" s="13" customFormat="1" ht="49.5" customHeight="1" x14ac:dyDescent="0.25">
      <c r="A46" s="69"/>
      <c r="B46" s="69"/>
      <c r="C46" s="69"/>
      <c r="D46" s="69"/>
      <c r="E46" s="69"/>
      <c r="F46" s="70" t="s">
        <v>97</v>
      </c>
      <c r="G46" s="70" t="s">
        <v>98</v>
      </c>
      <c r="H46" s="42">
        <v>1</v>
      </c>
      <c r="I46" s="71">
        <f>350000000+385000000+423500000+465850000+512435000</f>
        <v>2136785000</v>
      </c>
      <c r="J46" s="44">
        <v>0.59960000000000002</v>
      </c>
      <c r="K46" s="45">
        <v>418085000</v>
      </c>
      <c r="L46" s="42">
        <v>1</v>
      </c>
      <c r="M46" s="71">
        <v>376920500</v>
      </c>
      <c r="N46" s="46">
        <f t="shared" si="16"/>
        <v>0.1054333738812296</v>
      </c>
      <c r="O46" s="71">
        <v>39740000</v>
      </c>
      <c r="P46" s="46"/>
      <c r="Q46" s="71"/>
      <c r="R46" s="44">
        <f t="shared" si="20"/>
        <v>0</v>
      </c>
      <c r="S46" s="72">
        <f>0</f>
        <v>0</v>
      </c>
      <c r="T46" s="44">
        <f t="shared" si="21"/>
        <v>0</v>
      </c>
      <c r="U46" s="72">
        <f>0</f>
        <v>0</v>
      </c>
      <c r="V46" s="68">
        <f t="shared" si="17"/>
        <v>0.1054333738812296</v>
      </c>
      <c r="W46" s="71">
        <f t="shared" si="15"/>
        <v>39740000</v>
      </c>
      <c r="X46" s="47">
        <f t="shared" si="18"/>
        <v>0.1054333738812296</v>
      </c>
      <c r="Y46" s="47">
        <f t="shared" si="18"/>
        <v>0.1054333738812296</v>
      </c>
      <c r="Z46" s="47">
        <f t="shared" si="13"/>
        <v>0.70503337388122966</v>
      </c>
      <c r="AA46" s="72">
        <f>K46+W46</f>
        <v>457825000</v>
      </c>
      <c r="AB46" s="50">
        <f t="shared" si="19"/>
        <v>0.70503337388122966</v>
      </c>
      <c r="AC46" s="42">
        <f t="shared" si="19"/>
        <v>0.21425880469958372</v>
      </c>
      <c r="AD46" s="73"/>
      <c r="AE46" s="73"/>
    </row>
    <row r="47" spans="1:31" s="11" customFormat="1" ht="62.25" customHeight="1" x14ac:dyDescent="0.25">
      <c r="A47" s="51"/>
      <c r="B47" s="51"/>
      <c r="C47" s="51"/>
      <c r="D47" s="51"/>
      <c r="E47" s="51"/>
      <c r="F47" s="41" t="s">
        <v>99</v>
      </c>
      <c r="G47" s="41" t="s">
        <v>100</v>
      </c>
      <c r="H47" s="42">
        <v>1</v>
      </c>
      <c r="I47" s="71">
        <f>153750000+169125000+186037500+204641250+225105375</f>
        <v>938659125</v>
      </c>
      <c r="J47" s="44">
        <f t="shared" ref="J47:J50" si="22">T47</f>
        <v>0</v>
      </c>
      <c r="K47" s="45">
        <v>49750000</v>
      </c>
      <c r="L47" s="42">
        <v>1</v>
      </c>
      <c r="M47" s="71">
        <v>1257410000</v>
      </c>
      <c r="N47" s="46">
        <f t="shared" si="16"/>
        <v>0</v>
      </c>
      <c r="O47" s="48">
        <v>0</v>
      </c>
      <c r="P47" s="46"/>
      <c r="Q47" s="71"/>
      <c r="R47" s="44">
        <f t="shared" si="20"/>
        <v>0</v>
      </c>
      <c r="S47" s="72">
        <f>0-0</f>
        <v>0</v>
      </c>
      <c r="T47" s="44">
        <f t="shared" si="21"/>
        <v>0</v>
      </c>
      <c r="U47" s="72">
        <f>0</f>
        <v>0</v>
      </c>
      <c r="V47" s="47">
        <f t="shared" si="17"/>
        <v>0</v>
      </c>
      <c r="W47" s="48">
        <f t="shared" si="15"/>
        <v>0</v>
      </c>
      <c r="X47" s="47">
        <f t="shared" si="18"/>
        <v>0</v>
      </c>
      <c r="Y47" s="47">
        <f t="shared" si="18"/>
        <v>0</v>
      </c>
      <c r="Z47" s="47">
        <f t="shared" si="13"/>
        <v>0</v>
      </c>
      <c r="AA47" s="49">
        <f>K47+W47</f>
        <v>49750000</v>
      </c>
      <c r="AB47" s="50">
        <f t="shared" si="19"/>
        <v>0</v>
      </c>
      <c r="AC47" s="42">
        <f t="shared" si="19"/>
        <v>5.3001136062039558E-2</v>
      </c>
      <c r="AD47" s="51"/>
      <c r="AE47" s="51"/>
    </row>
    <row r="48" spans="1:31" s="11" customFormat="1" ht="75.75" customHeight="1" x14ac:dyDescent="0.25">
      <c r="A48" s="51"/>
      <c r="B48" s="51"/>
      <c r="C48" s="51"/>
      <c r="D48" s="51"/>
      <c r="E48" s="51"/>
      <c r="F48" s="41" t="s">
        <v>101</v>
      </c>
      <c r="G48" s="41" t="s">
        <v>102</v>
      </c>
      <c r="H48" s="42">
        <v>1</v>
      </c>
      <c r="I48" s="43">
        <f>900000000+900000000+900000000+900000000+900000000</f>
        <v>4500000000</v>
      </c>
      <c r="J48" s="44">
        <v>0.37809999999999999</v>
      </c>
      <c r="K48" s="45">
        <v>1583652000</v>
      </c>
      <c r="L48" s="42">
        <v>1</v>
      </c>
      <c r="M48" s="43">
        <v>658362000</v>
      </c>
      <c r="N48" s="46">
        <f t="shared" si="16"/>
        <v>7.3657957172497804E-2</v>
      </c>
      <c r="O48" s="43">
        <v>48493600</v>
      </c>
      <c r="P48" s="46"/>
      <c r="Q48" s="43"/>
      <c r="R48" s="44">
        <f t="shared" si="20"/>
        <v>0</v>
      </c>
      <c r="S48" s="45">
        <f>0</f>
        <v>0</v>
      </c>
      <c r="T48" s="44">
        <f t="shared" si="21"/>
        <v>0</v>
      </c>
      <c r="U48" s="45">
        <f>0</f>
        <v>0</v>
      </c>
      <c r="V48" s="47">
        <f t="shared" si="17"/>
        <v>7.3657957172497804E-2</v>
      </c>
      <c r="W48" s="43">
        <f t="shared" si="15"/>
        <v>48493600</v>
      </c>
      <c r="X48" s="47">
        <f t="shared" si="18"/>
        <v>7.3657957172497804E-2</v>
      </c>
      <c r="Y48" s="47">
        <f t="shared" si="18"/>
        <v>7.3657957172497804E-2</v>
      </c>
      <c r="Z48" s="47">
        <f t="shared" si="13"/>
        <v>0.45175795717249778</v>
      </c>
      <c r="AA48" s="49">
        <f>K48+W48</f>
        <v>1632145600</v>
      </c>
      <c r="AB48" s="50">
        <f t="shared" si="19"/>
        <v>0.45175795717249778</v>
      </c>
      <c r="AC48" s="42">
        <f t="shared" si="19"/>
        <v>0.36269902222222222</v>
      </c>
      <c r="AD48" s="51"/>
      <c r="AE48" s="51"/>
    </row>
    <row r="49" spans="1:34" s="10" customFormat="1" ht="148.5" customHeight="1" x14ac:dyDescent="0.25">
      <c r="A49" s="32"/>
      <c r="B49" s="32"/>
      <c r="C49" s="32"/>
      <c r="D49" s="32"/>
      <c r="E49" s="32"/>
      <c r="F49" s="41" t="s">
        <v>103</v>
      </c>
      <c r="G49" s="41" t="s">
        <v>104</v>
      </c>
      <c r="H49" s="42">
        <v>1</v>
      </c>
      <c r="I49" s="43">
        <f>15362015000+15362015000+15362015000+15362015000+15362015000</f>
        <v>76810075000</v>
      </c>
      <c r="J49" s="44">
        <v>0.88949999999999996</v>
      </c>
      <c r="K49" s="45">
        <v>18146297000</v>
      </c>
      <c r="L49" s="42">
        <v>1</v>
      </c>
      <c r="M49" s="43">
        <v>26098014500</v>
      </c>
      <c r="N49" s="46">
        <f t="shared" si="16"/>
        <v>0.30134214585557839</v>
      </c>
      <c r="O49" s="43">
        <v>7864431692</v>
      </c>
      <c r="P49" s="46"/>
      <c r="Q49" s="43"/>
      <c r="R49" s="44">
        <f t="shared" si="20"/>
        <v>0</v>
      </c>
      <c r="S49" s="45">
        <f>0</f>
        <v>0</v>
      </c>
      <c r="T49" s="44">
        <f t="shared" si="21"/>
        <v>0</v>
      </c>
      <c r="U49" s="45">
        <f>0</f>
        <v>0</v>
      </c>
      <c r="V49" s="47">
        <f t="shared" si="17"/>
        <v>0.30134214585557839</v>
      </c>
      <c r="W49" s="43">
        <f t="shared" si="15"/>
        <v>7864431692</v>
      </c>
      <c r="X49" s="47">
        <f t="shared" si="18"/>
        <v>0.30134214585557839</v>
      </c>
      <c r="Y49" s="47">
        <f t="shared" si="18"/>
        <v>0.30134214585557839</v>
      </c>
      <c r="Z49" s="47">
        <f t="shared" si="13"/>
        <v>1.1908421458555782</v>
      </c>
      <c r="AA49" s="49">
        <f>K49+W49</f>
        <v>26010728692</v>
      </c>
      <c r="AB49" s="50">
        <f t="shared" si="19"/>
        <v>1.1908421458555782</v>
      </c>
      <c r="AC49" s="42">
        <f t="shared" si="19"/>
        <v>0.33863693912549886</v>
      </c>
      <c r="AD49" s="51"/>
      <c r="AE49" s="51"/>
    </row>
    <row r="50" spans="1:34" s="10" customFormat="1" ht="78.75" customHeight="1" x14ac:dyDescent="0.25">
      <c r="A50" s="32"/>
      <c r="B50" s="32"/>
      <c r="C50" s="32"/>
      <c r="D50" s="32"/>
      <c r="E50" s="32"/>
      <c r="F50" s="41" t="s">
        <v>105</v>
      </c>
      <c r="G50" s="41" t="s">
        <v>106</v>
      </c>
      <c r="H50" s="42">
        <v>1</v>
      </c>
      <c r="I50" s="43">
        <f>875000000+1050000000+1050000000+1050000000+1050000000</f>
        <v>5075000000</v>
      </c>
      <c r="J50" s="44">
        <f t="shared" si="22"/>
        <v>0</v>
      </c>
      <c r="K50" s="45">
        <f>0</f>
        <v>0</v>
      </c>
      <c r="L50" s="42">
        <v>1</v>
      </c>
      <c r="M50" s="43">
        <v>210720000</v>
      </c>
      <c r="N50" s="46">
        <f t="shared" si="16"/>
        <v>0</v>
      </c>
      <c r="O50" s="43">
        <f>0</f>
        <v>0</v>
      </c>
      <c r="P50" s="46"/>
      <c r="Q50" s="43"/>
      <c r="R50" s="44">
        <f t="shared" si="20"/>
        <v>0</v>
      </c>
      <c r="S50" s="45">
        <f>0</f>
        <v>0</v>
      </c>
      <c r="T50" s="44">
        <f t="shared" si="21"/>
        <v>0</v>
      </c>
      <c r="U50" s="45">
        <f>0</f>
        <v>0</v>
      </c>
      <c r="V50" s="47">
        <f t="shared" si="17"/>
        <v>0</v>
      </c>
      <c r="W50" s="43">
        <f t="shared" si="15"/>
        <v>0</v>
      </c>
      <c r="X50" s="47">
        <f t="shared" si="18"/>
        <v>0</v>
      </c>
      <c r="Y50" s="47">
        <f t="shared" si="18"/>
        <v>0</v>
      </c>
      <c r="Z50" s="47">
        <f t="shared" ref="Z50" si="23">J50+V50</f>
        <v>0</v>
      </c>
      <c r="AA50" s="49">
        <f>K50+W50</f>
        <v>0</v>
      </c>
      <c r="AB50" s="50">
        <f t="shared" si="19"/>
        <v>0</v>
      </c>
      <c r="AC50" s="42">
        <v>0</v>
      </c>
      <c r="AD50" s="51"/>
      <c r="AE50" s="51"/>
    </row>
    <row r="51" spans="1:34" s="10" customFormat="1" ht="14.25" customHeight="1" x14ac:dyDescent="0.25">
      <c r="A51" s="84" t="s">
        <v>107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38">
        <f>AVERAGE(X42,X40,X38,X36,X34,X19,X11)</f>
        <v>4.1175771675572147E-2</v>
      </c>
      <c r="Y51" s="74">
        <f>AG51/AH51</f>
        <v>0.20037579882723403</v>
      </c>
      <c r="Z51" s="85"/>
      <c r="AA51" s="85"/>
      <c r="AB51" s="32"/>
      <c r="AC51" s="32"/>
      <c r="AD51" s="75"/>
      <c r="AE51" s="75"/>
      <c r="AG51" s="14">
        <f>W42+W40+W38+W36+W19+W11</f>
        <v>8717457912</v>
      </c>
      <c r="AH51" s="14">
        <f>M11+M19+M34+M36+M38+M40+M42</f>
        <v>43505542900</v>
      </c>
    </row>
    <row r="52" spans="1:34" s="10" customFormat="1" ht="14.25" customHeight="1" x14ac:dyDescent="0.25">
      <c r="A52" s="84" t="s">
        <v>108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6"/>
      <c r="Y52" s="86"/>
      <c r="Z52" s="85"/>
      <c r="AA52" s="85"/>
      <c r="AB52" s="32"/>
      <c r="AC52" s="32"/>
      <c r="AD52" s="75"/>
      <c r="AE52" s="75"/>
    </row>
    <row r="53" spans="1:34" s="10" customFormat="1" ht="14.25" customHeight="1" x14ac:dyDescent="0.2">
      <c r="A53" s="82" t="s">
        <v>109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</row>
    <row r="54" spans="1:34" s="10" customFormat="1" ht="14.25" customHeight="1" x14ac:dyDescent="0.2">
      <c r="A54" s="82" t="s">
        <v>110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4" s="10" customFormat="1" ht="14.25" customHeight="1" x14ac:dyDescent="0.2">
      <c r="A55" s="82" t="s">
        <v>111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</row>
    <row r="56" spans="1:34" s="10" customFormat="1" ht="14.25" customHeight="1" x14ac:dyDescent="0.2">
      <c r="A56" s="82" t="s">
        <v>112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</row>
    <row r="57" spans="1:34" ht="12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4" s="17" customFormat="1" ht="12" customHeight="1" x14ac:dyDescent="0.2">
      <c r="I58" s="16"/>
      <c r="M58" s="16"/>
      <c r="O58" s="16"/>
      <c r="P58" s="18"/>
      <c r="W58" s="16"/>
      <c r="Y58" s="17" t="s">
        <v>123</v>
      </c>
      <c r="AA58" s="19"/>
    </row>
    <row r="59" spans="1:34" s="17" customFormat="1" ht="12" customHeight="1" x14ac:dyDescent="0.2">
      <c r="I59" s="16"/>
      <c r="K59" s="19">
        <f t="shared" ref="K59:Q59" si="24">K42+K40+K38+K36+K34+K19+K11</f>
        <v>33412487500</v>
      </c>
      <c r="L59" s="19">
        <f t="shared" si="24"/>
        <v>7</v>
      </c>
      <c r="M59" s="19">
        <f t="shared" si="24"/>
        <v>43505542900</v>
      </c>
      <c r="N59" s="19">
        <f t="shared" si="24"/>
        <v>0.28823040172900505</v>
      </c>
      <c r="O59" s="19">
        <f t="shared" si="24"/>
        <v>8717457912</v>
      </c>
      <c r="P59" s="19">
        <f t="shared" si="24"/>
        <v>0</v>
      </c>
      <c r="Q59" s="19">
        <f t="shared" si="24"/>
        <v>0</v>
      </c>
      <c r="W59" s="16"/>
      <c r="Y59" s="83" t="s">
        <v>116</v>
      </c>
      <c r="Z59" s="83"/>
      <c r="AA59" s="83"/>
      <c r="AB59" s="83"/>
      <c r="AC59" s="83"/>
      <c r="AD59" s="83"/>
    </row>
    <row r="60" spans="1:34" s="17" customFormat="1" ht="12" customHeight="1" x14ac:dyDescent="0.2">
      <c r="I60" s="16"/>
      <c r="M60" s="16"/>
      <c r="O60" s="16"/>
      <c r="P60" s="18"/>
      <c r="W60" s="16"/>
      <c r="Y60" s="20"/>
      <c r="AA60" s="19"/>
    </row>
    <row r="61" spans="1:34" s="17" customFormat="1" ht="12" customHeight="1" x14ac:dyDescent="0.2">
      <c r="I61" s="16"/>
      <c r="M61" s="16"/>
      <c r="O61" s="16"/>
      <c r="P61" s="18"/>
      <c r="W61" s="16"/>
      <c r="Y61" s="20"/>
      <c r="AA61" s="19"/>
    </row>
    <row r="62" spans="1:34" s="17" customFormat="1" ht="12" customHeight="1" x14ac:dyDescent="0.2">
      <c r="I62" s="16"/>
      <c r="M62" s="16"/>
      <c r="O62" s="16"/>
      <c r="P62" s="18"/>
      <c r="W62" s="16"/>
      <c r="Y62" s="20"/>
      <c r="AA62" s="19"/>
    </row>
    <row r="63" spans="1:34" s="17" customFormat="1" ht="12" customHeight="1" x14ac:dyDescent="0.2">
      <c r="I63" s="16"/>
      <c r="M63" s="16"/>
      <c r="O63" s="16"/>
      <c r="P63" s="18"/>
      <c r="W63" s="16"/>
      <c r="Y63" s="20"/>
      <c r="AA63" s="19"/>
    </row>
    <row r="64" spans="1:34" s="17" customFormat="1" ht="12" customHeight="1" x14ac:dyDescent="0.2">
      <c r="I64" s="16"/>
      <c r="M64" s="16"/>
      <c r="O64" s="16"/>
      <c r="P64" s="18"/>
      <c r="W64" s="16"/>
      <c r="Y64" s="20"/>
      <c r="AA64" s="19"/>
    </row>
    <row r="65" spans="9:30" s="17" customFormat="1" ht="12" customHeight="1" x14ac:dyDescent="0.2">
      <c r="I65" s="16"/>
      <c r="M65" s="16"/>
      <c r="O65" s="16"/>
      <c r="P65" s="18"/>
      <c r="W65" s="16"/>
      <c r="Y65" s="78" t="s">
        <v>117</v>
      </c>
      <c r="Z65" s="78"/>
      <c r="AA65" s="78"/>
      <c r="AB65" s="78"/>
      <c r="AC65" s="78"/>
      <c r="AD65" s="78"/>
    </row>
    <row r="66" spans="9:30" s="17" customFormat="1" ht="12" customHeight="1" x14ac:dyDescent="0.2">
      <c r="I66" s="16"/>
      <c r="M66" s="16"/>
      <c r="O66" s="16"/>
      <c r="P66" s="18"/>
      <c r="W66" s="16"/>
      <c r="Y66" s="78" t="s">
        <v>118</v>
      </c>
      <c r="Z66" s="78"/>
      <c r="AA66" s="78"/>
      <c r="AB66" s="78"/>
      <c r="AC66" s="78"/>
      <c r="AD66" s="78"/>
    </row>
    <row r="67" spans="9:30" s="17" customFormat="1" ht="12" customHeight="1" x14ac:dyDescent="0.2">
      <c r="I67" s="16"/>
      <c r="M67" s="16"/>
      <c r="O67" s="16"/>
      <c r="P67" s="18"/>
      <c r="W67" s="16"/>
      <c r="Y67" s="78" t="s">
        <v>119</v>
      </c>
      <c r="Z67" s="78"/>
      <c r="AA67" s="78"/>
      <c r="AB67" s="78"/>
      <c r="AC67" s="78"/>
      <c r="AD67" s="78"/>
    </row>
    <row r="68" spans="9:30" ht="12" customHeight="1" x14ac:dyDescent="0.2"/>
    <row r="69" spans="9:30" ht="12" customHeight="1" x14ac:dyDescent="0.2"/>
    <row r="70" spans="9:30" ht="12" customHeight="1" x14ac:dyDescent="0.2"/>
    <row r="71" spans="9:30" ht="12" customHeight="1" x14ac:dyDescent="0.2"/>
  </sheetData>
  <mergeCells count="57">
    <mergeCell ref="A51:W51"/>
    <mergeCell ref="Z51:AA51"/>
    <mergeCell ref="A52:W52"/>
    <mergeCell ref="X52:Y52"/>
    <mergeCell ref="Z52:AA52"/>
    <mergeCell ref="A53:AE53"/>
    <mergeCell ref="A54:AE54"/>
    <mergeCell ref="A55:AE55"/>
    <mergeCell ref="A56:AE56"/>
    <mergeCell ref="Y59:AD59"/>
    <mergeCell ref="Y65:AD65"/>
    <mergeCell ref="Y66:AD66"/>
    <mergeCell ref="Y67:AD67"/>
    <mergeCell ref="B42:E42"/>
    <mergeCell ref="V9:W9"/>
    <mergeCell ref="X9:Y9"/>
    <mergeCell ref="Z9:AA9"/>
    <mergeCell ref="AB9:AC9"/>
    <mergeCell ref="B19:E19"/>
    <mergeCell ref="B34:E34"/>
    <mergeCell ref="B36:E36"/>
    <mergeCell ref="B38:E38"/>
    <mergeCell ref="B40:E40"/>
    <mergeCell ref="AD9:AD10"/>
    <mergeCell ref="B11:E11"/>
    <mergeCell ref="J9:K9"/>
    <mergeCell ref="L9:M9"/>
    <mergeCell ref="N9:O9"/>
    <mergeCell ref="P9:Q9"/>
    <mergeCell ref="R9:S9"/>
    <mergeCell ref="T9:U9"/>
    <mergeCell ref="V6:W8"/>
    <mergeCell ref="X6:Y8"/>
    <mergeCell ref="Z6:AA8"/>
    <mergeCell ref="AB6:AC8"/>
    <mergeCell ref="AD6:AD8"/>
    <mergeCell ref="A9:A10"/>
    <mergeCell ref="B9:E10"/>
    <mergeCell ref="F9:F10"/>
    <mergeCell ref="G9:G10"/>
    <mergeCell ref="H9:I9"/>
    <mergeCell ref="A1:AE1"/>
    <mergeCell ref="A2:AE2"/>
    <mergeCell ref="A3:AE3"/>
    <mergeCell ref="A6:A8"/>
    <mergeCell ref="B6:E8"/>
    <mergeCell ref="F6:F8"/>
    <mergeCell ref="G6:G8"/>
    <mergeCell ref="H6:I8"/>
    <mergeCell ref="J6:K8"/>
    <mergeCell ref="L6:M8"/>
    <mergeCell ref="AE6:AE8"/>
    <mergeCell ref="N8:O8"/>
    <mergeCell ref="P8:Q8"/>
    <mergeCell ref="R8:S8"/>
    <mergeCell ref="T8:U8"/>
    <mergeCell ref="N6:U7"/>
  </mergeCells>
  <printOptions horizontalCentered="1"/>
  <pageMargins left="0.39370078740157483" right="0.39370078740157483" top="0.98425196850393704" bottom="0.43307086614173229" header="0.31496062992125984" footer="0.31496062992125984"/>
  <pageSetup paperSize="9" scale="48" fitToHeight="10" orientation="landscape" verticalDpi="180" r:id="rId1"/>
  <headerFooter>
    <oddFooter>&amp;L&amp;"+,Regular"Evaluasi Hasil Renja Tw. I Terhadap RKPD Tahun 2017&amp;C&amp;"+,Regular"SEKRETARIAT DPRD&amp;R&amp;"+,Regular"2.&amp;P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 Renja TW 1+2 2017</vt:lpstr>
      <vt:lpstr>'Ev Renja TW 1+2 2017'!Print_Area</vt:lpstr>
      <vt:lpstr>'Ev Renja TW 1+2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Windows User</cp:lastModifiedBy>
  <cp:lastPrinted>2017-12-03T15:15:13Z</cp:lastPrinted>
  <dcterms:created xsi:type="dcterms:W3CDTF">2017-06-13T03:15:56Z</dcterms:created>
  <dcterms:modified xsi:type="dcterms:W3CDTF">2017-12-03T15:15:17Z</dcterms:modified>
</cp:coreProperties>
</file>